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48260B48-EBCA-EE49-9B9D-204112308377}" xr6:coauthVersionLast="45" xr6:coauthVersionMax="45" xr10:uidLastSave="{00000000-0000-0000-0000-000000000000}"/>
  <bookViews>
    <workbookView xWindow="360" yWindow="460" windowWidth="10000" windowHeight="5380"/>
  </bookViews>
  <sheets>
    <sheet name="Reserve" sheetId="2" r:id="rId1"/>
    <sheet name="patch size and spat. config." sheetId="12" r:id="rId2"/>
  </sheets>
  <externalReferences>
    <externalReference r:id="rId3"/>
  </externalReferences>
  <definedNames>
    <definedName name="anscount" hidden="1">11</definedName>
    <definedName name="area">[1]Sheet1!$C$7</definedName>
    <definedName name="ascale">[1]Sheet1!$G$7</definedName>
    <definedName name="colonization">[1]Sheet1!$C$9</definedName>
    <definedName name="distance">[1]Sheet1!$C$8</definedName>
    <definedName name="dscale">[1]Sheet1!$G$6</definedName>
    <definedName name="extinction">[1]Sheet1!$C$10</definedName>
    <definedName name="pool">[1]Sheet1!$C$6</definedName>
    <definedName name="richness">[1]Sheet1!$B1</definedName>
    <definedName name="richprev">[1]Sheet1!$B1048576</definedName>
    <definedName name="solver_adj" localSheetId="0" hidden="1">Reserve!$B$9:$F$13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Reserve!#REF!</definedName>
    <definedName name="solver_lhs2" localSheetId="0" hidden="1">Reserve!#REF!</definedName>
    <definedName name="solver_lhs3" localSheetId="0" hidden="1">Reserve!$B$9:$F$13</definedName>
    <definedName name="solver_lhs4" localSheetId="0" hidden="1">Reserve!$B$9:$F$13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Reserve!#REF!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5</definedName>
    <definedName name="solver_rel4" localSheetId="0" hidden="1">1</definedName>
    <definedName name="solver_rhs1" localSheetId="0" hidden="1">Reserve!$C$5</definedName>
    <definedName name="solver_rhs2" localSheetId="0" hidden="1">Reserve!$C$4</definedName>
    <definedName name="solver_rhs3" localSheetId="0" hidden="1">binary</definedName>
    <definedName name="solver_rhs4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2" l="1"/>
  <c r="E5" i="12"/>
  <c r="B17" i="12"/>
  <c r="C17" i="12"/>
  <c r="D17" i="12"/>
  <c r="F22" i="12" s="1"/>
  <c r="E17" i="12"/>
  <c r="F17" i="12"/>
  <c r="B18" i="12"/>
  <c r="C18" i="12"/>
  <c r="D18" i="12"/>
  <c r="E18" i="12"/>
  <c r="F18" i="12"/>
  <c r="B19" i="12"/>
  <c r="C19" i="12"/>
  <c r="D19" i="12"/>
  <c r="E19" i="12"/>
  <c r="F19" i="12"/>
  <c r="B20" i="12"/>
  <c r="C20" i="12"/>
  <c r="D20" i="12"/>
  <c r="E20" i="12"/>
  <c r="F20" i="12"/>
  <c r="B21" i="12"/>
  <c r="C21" i="12"/>
  <c r="D21" i="12"/>
  <c r="E21" i="12"/>
  <c r="F21" i="12"/>
  <c r="B25" i="12"/>
  <c r="F30" i="12" s="1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I3" i="2"/>
  <c r="J3" i="2"/>
  <c r="E4" i="2"/>
  <c r="B17" i="2" s="1"/>
  <c r="I4" i="2"/>
  <c r="J4" i="2"/>
  <c r="M4" i="2"/>
  <c r="N4" i="2"/>
  <c r="P4" i="2" s="1"/>
  <c r="O4" i="2"/>
  <c r="Q4" i="2" s="1"/>
  <c r="E5" i="2"/>
  <c r="F27" i="2" s="1"/>
  <c r="L5" i="2"/>
  <c r="M5" i="2" s="1"/>
  <c r="J6" i="2"/>
  <c r="L6" i="2"/>
  <c r="M6" i="2" s="1"/>
  <c r="H7" i="2"/>
  <c r="I7" i="2"/>
  <c r="J7" i="2"/>
  <c r="H8" i="2"/>
  <c r="I8" i="2" s="1"/>
  <c r="E17" i="2"/>
  <c r="B18" i="2"/>
  <c r="F18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5" i="2"/>
  <c r="C25" i="2"/>
  <c r="D25" i="2"/>
  <c r="E25" i="2"/>
  <c r="F25" i="2"/>
  <c r="B26" i="2"/>
  <c r="C26" i="2"/>
  <c r="D26" i="2"/>
  <c r="E26" i="2"/>
  <c r="F26" i="2"/>
  <c r="B27" i="2"/>
  <c r="C27" i="2"/>
  <c r="E27" i="2"/>
  <c r="B28" i="2"/>
  <c r="F28" i="2"/>
  <c r="C29" i="2"/>
  <c r="N6" i="2" l="1"/>
  <c r="P6" i="2" s="1"/>
  <c r="O6" i="2"/>
  <c r="Q6" i="2" s="1"/>
  <c r="N5" i="2"/>
  <c r="P5" i="2" s="1"/>
  <c r="O5" i="2"/>
  <c r="Q5" i="2" s="1"/>
  <c r="B29" i="2"/>
  <c r="B19" i="2"/>
  <c r="E18" i="2"/>
  <c r="D17" i="2"/>
  <c r="I6" i="2"/>
  <c r="F29" i="2"/>
  <c r="E28" i="2"/>
  <c r="D27" i="2"/>
  <c r="F30" i="2" s="1"/>
  <c r="E29" i="2"/>
  <c r="D28" i="2"/>
  <c r="D18" i="2"/>
  <c r="C17" i="2"/>
  <c r="F22" i="2" s="1"/>
  <c r="J8" i="2"/>
  <c r="L7" i="2"/>
  <c r="D29" i="2"/>
  <c r="C28" i="2"/>
  <c r="C18" i="2"/>
  <c r="F17" i="2"/>
  <c r="H9" i="2"/>
  <c r="H10" i="2" l="1"/>
  <c r="J9" i="2"/>
  <c r="M7" i="2"/>
  <c r="L8" i="2"/>
  <c r="I9" i="2"/>
  <c r="M8" i="2" l="1"/>
  <c r="L9" i="2"/>
  <c r="O7" i="2"/>
  <c r="N7" i="2"/>
  <c r="P7" i="2" s="1"/>
  <c r="J10" i="2"/>
  <c r="H11" i="2"/>
  <c r="I10" i="2"/>
  <c r="Q7" i="2" l="1"/>
  <c r="J11" i="2"/>
  <c r="I11" i="2"/>
  <c r="H12" i="2"/>
  <c r="M9" i="2"/>
  <c r="L10" i="2"/>
  <c r="N8" i="2"/>
  <c r="P8" i="2" s="1"/>
  <c r="O8" i="2"/>
  <c r="Q8" i="2" l="1"/>
  <c r="I12" i="2"/>
  <c r="H13" i="2"/>
  <c r="J12" i="2"/>
  <c r="M10" i="2"/>
  <c r="L11" i="2"/>
  <c r="N9" i="2"/>
  <c r="P9" i="2" s="1"/>
  <c r="O9" i="2"/>
  <c r="Q9" i="2" s="1"/>
  <c r="H14" i="2" l="1"/>
  <c r="J13" i="2"/>
  <c r="I13" i="2"/>
  <c r="M11" i="2"/>
  <c r="L12" i="2"/>
  <c r="N10" i="2"/>
  <c r="P10" i="2" s="1"/>
  <c r="O10" i="2"/>
  <c r="O11" i="2" l="1"/>
  <c r="Q11" i="2" s="1"/>
  <c r="N11" i="2"/>
  <c r="P11" i="2" s="1"/>
  <c r="Q10" i="2"/>
  <c r="M12" i="2"/>
  <c r="L13" i="2"/>
  <c r="I14" i="2"/>
  <c r="H15" i="2"/>
  <c r="J14" i="2"/>
  <c r="M13" i="2" l="1"/>
  <c r="L14" i="2"/>
  <c r="N12" i="2"/>
  <c r="P12" i="2" s="1"/>
  <c r="O12" i="2"/>
  <c r="Q12" i="2" s="1"/>
  <c r="J15" i="2"/>
  <c r="I15" i="2"/>
  <c r="H16" i="2"/>
  <c r="I16" i="2" l="1"/>
  <c r="J16" i="2"/>
  <c r="M14" i="2"/>
  <c r="L15" i="2"/>
  <c r="N13" i="2"/>
  <c r="P13" i="2" s="1"/>
  <c r="O13" i="2"/>
  <c r="Q13" i="2" s="1"/>
  <c r="M15" i="2" l="1"/>
  <c r="L16" i="2"/>
  <c r="O14" i="2"/>
  <c r="N14" i="2"/>
  <c r="P14" i="2" s="1"/>
  <c r="L17" i="2" l="1"/>
  <c r="M16" i="2"/>
  <c r="Q14" i="2"/>
  <c r="O15" i="2"/>
  <c r="N15" i="2"/>
  <c r="P15" i="2" s="1"/>
  <c r="Q15" i="2" l="1"/>
  <c r="N16" i="2"/>
  <c r="P16" i="2" s="1"/>
  <c r="O16" i="2"/>
  <c r="Q16" i="2" s="1"/>
  <c r="L18" i="2"/>
  <c r="M17" i="2"/>
  <c r="M18" i="2" l="1"/>
  <c r="L19" i="2"/>
  <c r="O17" i="2"/>
  <c r="N17" i="2"/>
  <c r="P17" i="2" s="1"/>
  <c r="M19" i="2" l="1"/>
  <c r="L20" i="2"/>
  <c r="Q17" i="2"/>
  <c r="O18" i="2"/>
  <c r="N18" i="2"/>
  <c r="P18" i="2" s="1"/>
  <c r="N19" i="2" l="1"/>
  <c r="P19" i="2" s="1"/>
  <c r="O19" i="2"/>
  <c r="Q18" i="2"/>
  <c r="L21" i="2"/>
  <c r="M20" i="2"/>
  <c r="L22" i="2" l="1"/>
  <c r="M21" i="2"/>
  <c r="Q19" i="2"/>
  <c r="N20" i="2"/>
  <c r="P20" i="2" s="1"/>
  <c r="O20" i="2"/>
  <c r="Q20" i="2" s="1"/>
  <c r="O21" i="2" l="1"/>
  <c r="N21" i="2"/>
  <c r="P21" i="2" s="1"/>
  <c r="M22" i="2"/>
  <c r="L23" i="2"/>
  <c r="O22" i="2" l="1"/>
  <c r="N22" i="2"/>
  <c r="P22" i="2" s="1"/>
  <c r="L24" i="2"/>
  <c r="M23" i="2"/>
  <c r="Q21" i="2"/>
  <c r="N23" i="2" l="1"/>
  <c r="P23" i="2" s="1"/>
  <c r="O23" i="2"/>
  <c r="Q23" i="2" s="1"/>
  <c r="L25" i="2"/>
  <c r="M24" i="2"/>
  <c r="Q22" i="2"/>
  <c r="O24" i="2" l="1"/>
  <c r="N24" i="2"/>
  <c r="P24" i="2" s="1"/>
  <c r="M25" i="2"/>
  <c r="L26" i="2"/>
  <c r="M26" i="2" l="1"/>
  <c r="L27" i="2"/>
  <c r="N25" i="2"/>
  <c r="P25" i="2" s="1"/>
  <c r="O25" i="2"/>
  <c r="Q25" i="2" s="1"/>
  <c r="Q24" i="2"/>
  <c r="L28" i="2" l="1"/>
  <c r="M27" i="2"/>
  <c r="N26" i="2"/>
  <c r="P26" i="2" s="1"/>
  <c r="O26" i="2"/>
  <c r="Q26" i="2" s="1"/>
  <c r="O27" i="2" l="1"/>
  <c r="N27" i="2"/>
  <c r="P27" i="2" s="1"/>
  <c r="M28" i="2"/>
  <c r="L29" i="2"/>
  <c r="M29" i="2" s="1"/>
  <c r="O28" i="2" l="1"/>
  <c r="N28" i="2"/>
  <c r="P28" i="2" s="1"/>
  <c r="N29" i="2"/>
  <c r="P29" i="2" s="1"/>
  <c r="O29" i="2"/>
  <c r="Q29" i="2" s="1"/>
  <c r="Q27" i="2"/>
  <c r="Q28" i="2" l="1"/>
</calcChain>
</file>

<file path=xl/sharedStrings.xml><?xml version="1.0" encoding="utf-8"?>
<sst xmlns="http://schemas.openxmlformats.org/spreadsheetml/2006/main" count="42" uniqueCount="22">
  <si>
    <t>Species 1</t>
  </si>
  <si>
    <t>Habitat 1</t>
  </si>
  <si>
    <t>Species 2</t>
  </si>
  <si>
    <t>Density</t>
  </si>
  <si>
    <t>Total</t>
  </si>
  <si>
    <t>Objective:</t>
  </si>
  <si>
    <t>Density - Proportion Relationships</t>
  </si>
  <si>
    <t>z</t>
  </si>
  <si>
    <t>d</t>
  </si>
  <si>
    <t>Landscape</t>
  </si>
  <si>
    <t>Habitat 2</t>
  </si>
  <si>
    <t>patch size</t>
  </si>
  <si>
    <t>total =&gt;</t>
  </si>
  <si>
    <r>
      <t>z</t>
    </r>
    <r>
      <rPr>
        <b/>
        <sz val="10"/>
        <rFont val="Arial"/>
        <family val="2"/>
      </rPr>
      <t xml:space="preserve"> =</t>
    </r>
  </si>
  <si>
    <r>
      <t>d</t>
    </r>
    <r>
      <rPr>
        <b/>
        <sz val="10"/>
        <rFont val="Arial"/>
        <family val="2"/>
      </rPr>
      <t xml:space="preserve"> =</t>
    </r>
  </si>
  <si>
    <t>Proportion of habitat 1</t>
  </si>
  <si>
    <t>Proportion of habitat</t>
  </si>
  <si>
    <t>Number of individuals</t>
  </si>
  <si>
    <t>Prop:</t>
  </si>
  <si>
    <t>Reserve Design</t>
  </si>
  <si>
    <t>Minimum #</t>
  </si>
  <si>
    <t>Taking into account patch size and spatial configuration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</si>
</sst>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Density as a function of habitat proportion</a:t>
            </a:r>
          </a:p>
        </c:rich>
      </c:tx>
      <c:layout>
        <c:manualLayout>
          <c:xMode val="edge"/>
          <c:yMode val="edge"/>
          <c:x val="0.1719255286691643"/>
          <c:y val="3.6364758738960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80957197969262"/>
          <c:y val="0.22727974211850549"/>
          <c:w val="0.67624041276537961"/>
          <c:h val="0.53638019139967297"/>
        </c:manualLayout>
      </c:layout>
      <c:lineChart>
        <c:grouping val="standard"/>
        <c:varyColors val="0"/>
        <c:ser>
          <c:idx val="1"/>
          <c:order val="0"/>
          <c:tx>
            <c:v>z = 0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Reserve!$H$6:$H$16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Reserve!$I$6:$I$16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1-594D-8462-281BE64D175B}"/>
            </c:ext>
          </c:extLst>
        </c:ser>
        <c:ser>
          <c:idx val="0"/>
          <c:order val="1"/>
          <c:tx>
            <c:v>z = 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Reserve!$H$6:$H$16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Reserve!$J$6:$J$16</c:f>
              <c:numCache>
                <c:formatCode>General</c:formatCode>
                <c:ptCount val="11"/>
                <c:pt idx="0">
                  <c:v>5</c:v>
                </c:pt>
                <c:pt idx="1">
                  <c:v>1.7433922005000007</c:v>
                </c:pt>
                <c:pt idx="2">
                  <c:v>0.53687091200000059</c:v>
                </c:pt>
                <c:pt idx="3">
                  <c:v>0.14123762449999991</c:v>
                </c:pt>
                <c:pt idx="4">
                  <c:v>3.0233087999999995E-2</c:v>
                </c:pt>
                <c:pt idx="5">
                  <c:v>4.8828125E-3</c:v>
                </c:pt>
                <c:pt idx="6">
                  <c:v>5.2428800000000057E-4</c:v>
                </c:pt>
                <c:pt idx="7">
                  <c:v>2.9524500000000039E-5</c:v>
                </c:pt>
                <c:pt idx="8">
                  <c:v>5.1200000000000183E-7</c:v>
                </c:pt>
                <c:pt idx="9">
                  <c:v>5.0000000000000448E-10</c:v>
                </c:pt>
                <c:pt idx="10">
                  <c:v>1.4225655996704496E-159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1-594D-8462-281BE64D1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89567"/>
        <c:axId val="1"/>
      </c:lineChart>
      <c:catAx>
        <c:axId val="665895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Habitat 1</a:t>
                </a:r>
              </a:p>
            </c:rich>
          </c:tx>
          <c:layout>
            <c:manualLayout>
              <c:xMode val="edge"/>
              <c:yMode val="edge"/>
              <c:x val="0.30946595160449575"/>
              <c:y val="0.86820861489269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Density</a:t>
                </a:r>
              </a:p>
            </c:rich>
          </c:tx>
          <c:layout>
            <c:manualLayout>
              <c:xMode val="edge"/>
              <c:yMode val="edge"/>
              <c:x val="3.7250531211652262E-2"/>
              <c:y val="0.404557940970939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89567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97338856762748"/>
          <c:y val="0.43183151002516046"/>
          <c:w val="0.14900212484660905"/>
          <c:h val="0.13182225042873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57075447650998"/>
          <c:y val="8.4339964596060371E-2"/>
          <c:w val="0.62375768315641877"/>
          <c:h val="0.65865496160732862"/>
        </c:manualLayout>
      </c:layout>
      <c:lineChart>
        <c:grouping val="standard"/>
        <c:varyColors val="0"/>
        <c:ser>
          <c:idx val="0"/>
          <c:order val="0"/>
          <c:tx>
            <c:strRef>
              <c:f>Reserve!$O$3</c:f>
              <c:strCache>
                <c:ptCount val="1"/>
                <c:pt idx="0">
                  <c:v>Species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Reserve!$M$4:$M$29</c:f>
              <c:numCache>
                <c:formatCode>General</c:formatCode>
                <c:ptCount val="26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0.56000000000000005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</c:numCache>
            </c:numRef>
          </c:cat>
          <c:val>
            <c:numRef>
              <c:f>Reserve!$O$4:$O$29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F5-C34F-AF8A-42B68F75339A}"/>
            </c:ext>
          </c:extLst>
        </c:ser>
        <c:ser>
          <c:idx val="1"/>
          <c:order val="1"/>
          <c:tx>
            <c:strRef>
              <c:f>Reserve!$P$3</c:f>
              <c:strCache>
                <c:ptCount val="1"/>
                <c:pt idx="0">
                  <c:v>Species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Reserve!$M$4:$M$29</c:f>
              <c:numCache>
                <c:formatCode>General</c:formatCode>
                <c:ptCount val="26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0.56000000000000005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</c:numCache>
            </c:numRef>
          </c:cat>
          <c:val>
            <c:numRef>
              <c:f>Reserve!$P$4:$P$29</c:f>
              <c:numCache>
                <c:formatCode>General</c:formatCode>
                <c:ptCount val="26"/>
                <c:pt idx="0">
                  <c:v>125</c:v>
                </c:pt>
                <c:pt idx="1">
                  <c:v>79.779916318980113</c:v>
                </c:pt>
                <c:pt idx="2">
                  <c:v>49.954672235717723</c:v>
                </c:pt>
                <c:pt idx="3">
                  <c:v>30.635107361034233</c:v>
                </c:pt>
                <c:pt idx="4">
                  <c:v>18.364629020427984</c:v>
                </c:pt>
                <c:pt idx="5">
                  <c:v>10.737418240000011</c:v>
                </c:pt>
                <c:pt idx="6">
                  <c:v>6.1074444857229429</c:v>
                </c:pt>
                <c:pt idx="7">
                  <c:v>3.3695156183620378</c:v>
                </c:pt>
                <c:pt idx="8">
                  <c:v>1.7968343971336276</c:v>
                </c:pt>
                <c:pt idx="9">
                  <c:v>0.92233720368547767</c:v>
                </c:pt>
                <c:pt idx="10">
                  <c:v>0.4534963199999999</c:v>
                </c:pt>
                <c:pt idx="11">
                  <c:v>0.21231384236728007</c:v>
                </c:pt>
                <c:pt idx="12">
                  <c:v>9.3960818866887105E-2</c:v>
                </c:pt>
                <c:pt idx="13">
                  <c:v>3.8955037265127009E-2</c:v>
                </c:pt>
                <c:pt idx="14">
                  <c:v>1.4958548516129985E-2</c:v>
                </c:pt>
                <c:pt idx="15">
                  <c:v>5.2428800000000053E-3</c:v>
                </c:pt>
                <c:pt idx="16">
                  <c:v>1.6452712980283388E-3</c:v>
                </c:pt>
                <c:pt idx="17">
                  <c:v>4.5035996273704888E-4</c:v>
                </c:pt>
                <c:pt idx="18">
                  <c:v>1.0366886834339847E-4</c:v>
                </c:pt>
                <c:pt idx="19">
                  <c:v>1.9021014289612797E-5</c:v>
                </c:pt>
                <c:pt idx="20">
                  <c:v>2.5599999999999933E-6</c:v>
                </c:pt>
                <c:pt idx="21">
                  <c:v>2.1990232555520047E-7</c:v>
                </c:pt>
                <c:pt idx="22">
                  <c:v>9.2876046335999986E-9</c:v>
                </c:pt>
                <c:pt idx="23">
                  <c:v>1.0737418239999943E-10</c:v>
                </c:pt>
                <c:pt idx="24">
                  <c:v>5.2428800000000478E-14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F5-C34F-AF8A-42B68F75339A}"/>
            </c:ext>
          </c:extLst>
        </c:ser>
        <c:ser>
          <c:idx val="2"/>
          <c:order val="2"/>
          <c:tx>
            <c:strRef>
              <c:f>Reserve!$Q$3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Reserve!$M$4:$M$29</c:f>
              <c:numCache>
                <c:formatCode>General</c:formatCode>
                <c:ptCount val="26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0.56000000000000005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</c:numCache>
            </c:numRef>
          </c:cat>
          <c:val>
            <c:numRef>
              <c:f>Reserve!$Q$4:$Q$29</c:f>
              <c:numCache>
                <c:formatCode>General</c:formatCode>
                <c:ptCount val="26"/>
                <c:pt idx="0">
                  <c:v>0</c:v>
                </c:pt>
                <c:pt idx="1">
                  <c:v>84.779916318980113</c:v>
                </c:pt>
                <c:pt idx="2">
                  <c:v>59.954672235717723</c:v>
                </c:pt>
                <c:pt idx="3">
                  <c:v>45.63510736103423</c:v>
                </c:pt>
                <c:pt idx="4">
                  <c:v>38.364629020427984</c:v>
                </c:pt>
                <c:pt idx="5">
                  <c:v>35.737418240000011</c:v>
                </c:pt>
                <c:pt idx="6">
                  <c:v>36.107444485722944</c:v>
                </c:pt>
                <c:pt idx="7">
                  <c:v>38.369515618362037</c:v>
                </c:pt>
                <c:pt idx="8">
                  <c:v>41.79683439713363</c:v>
                </c:pt>
                <c:pt idx="9">
                  <c:v>45.92233720368548</c:v>
                </c:pt>
                <c:pt idx="10">
                  <c:v>50.453496319999999</c:v>
                </c:pt>
                <c:pt idx="11">
                  <c:v>55.21231384236728</c:v>
                </c:pt>
                <c:pt idx="12">
                  <c:v>60.09396081886689</c:v>
                </c:pt>
                <c:pt idx="13">
                  <c:v>65.038955037265126</c:v>
                </c:pt>
                <c:pt idx="14">
                  <c:v>70.014958548516134</c:v>
                </c:pt>
                <c:pt idx="15">
                  <c:v>75.005242879999997</c:v>
                </c:pt>
                <c:pt idx="16">
                  <c:v>80.001645271298031</c:v>
                </c:pt>
                <c:pt idx="17">
                  <c:v>85.000450359962741</c:v>
                </c:pt>
                <c:pt idx="18">
                  <c:v>90.000103668868348</c:v>
                </c:pt>
                <c:pt idx="19">
                  <c:v>95.000019021014296</c:v>
                </c:pt>
                <c:pt idx="20">
                  <c:v>100.00000256</c:v>
                </c:pt>
                <c:pt idx="21">
                  <c:v>105.00000021990232</c:v>
                </c:pt>
                <c:pt idx="22">
                  <c:v>110.0000000092876</c:v>
                </c:pt>
                <c:pt idx="23">
                  <c:v>115.00000000010738</c:v>
                </c:pt>
                <c:pt idx="24">
                  <c:v>120.00000000000006</c:v>
                </c:pt>
                <c:pt idx="25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F5-C34F-AF8A-42B68F75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2431"/>
        <c:axId val="1"/>
      </c:lineChart>
      <c:catAx>
        <c:axId val="244224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Habitat 1</a:t>
                </a:r>
              </a:p>
            </c:rich>
          </c:tx>
          <c:layout>
            <c:manualLayout>
              <c:xMode val="edge"/>
              <c:yMode val="edge"/>
              <c:x val="0.31061617420339882"/>
              <c:y val="0.867496778702335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Individuals</a:t>
                </a:r>
              </a:p>
            </c:rich>
          </c:tx>
          <c:layout>
            <c:manualLayout>
              <c:xMode val="edge"/>
              <c:yMode val="edge"/>
              <c:x val="3.2829351745074668E-2"/>
              <c:y val="0.17269611798240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224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53111562989776"/>
          <c:y val="0.32129510322308713"/>
          <c:w val="0.18182410197272125"/>
          <c:h val="0.1847446843532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16</xdr:row>
      <xdr:rowOff>165100</xdr:rowOff>
    </xdr:from>
    <xdr:to>
      <xdr:col>10</xdr:col>
      <xdr:colOff>711200</xdr:colOff>
      <xdr:row>31</xdr:row>
      <xdr:rowOff>101600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9FCA844A-A268-0E44-BBEA-0377F94B1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50800</xdr:colOff>
      <xdr:row>32</xdr:row>
      <xdr:rowOff>152400</xdr:rowOff>
    </xdr:from>
    <xdr:to>
      <xdr:col>11</xdr:col>
      <xdr:colOff>406400</xdr:colOff>
      <xdr:row>49</xdr:row>
      <xdr:rowOff>76200</xdr:rowOff>
    </xdr:to>
    <xdr:graphicFrame macro="">
      <xdr:nvGraphicFramePr>
        <xdr:cNvPr id="1040" name="Chart 16">
          <a:extLst>
            <a:ext uri="{FF2B5EF4-FFF2-40B4-BE49-F238E27FC236}">
              <a16:creationId xmlns:a16="http://schemas.microsoft.com/office/drawing/2014/main" id="{0612512B-9CA2-0646-8C5D-DC32AD0BE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land-Sinau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0"/>
  <sheetViews>
    <sheetView tabSelected="1" workbookViewId="0"/>
  </sheetViews>
  <sheetFormatPr baseColWidth="10" defaultColWidth="9.1640625" defaultRowHeight="15" customHeight="1" x14ac:dyDescent="0.15"/>
  <cols>
    <col min="1" max="1" width="9.1640625" style="2"/>
    <col min="2" max="2" width="10.5" style="2" customWidth="1"/>
    <col min="3" max="3" width="11.5" style="2" customWidth="1"/>
    <col min="4" max="7" width="9.1640625" style="2"/>
    <col min="8" max="8" width="23.1640625" style="2" customWidth="1"/>
    <col min="9" max="9" width="16.5" style="2" customWidth="1"/>
    <col min="10" max="11" width="10.83203125" style="2" customWidth="1"/>
    <col min="12" max="12" width="7.6640625" style="2" customWidth="1"/>
    <col min="13" max="17" width="10.6640625" style="2" customWidth="1"/>
    <col min="18" max="18" width="10.83203125" style="2" customWidth="1"/>
    <col min="19" max="16384" width="9.1640625" style="2"/>
  </cols>
  <sheetData>
    <row r="1" spans="1:22" ht="15" customHeight="1" x14ac:dyDescent="0.15">
      <c r="A1" s="1" t="s">
        <v>19</v>
      </c>
      <c r="H1" s="51" t="s">
        <v>6</v>
      </c>
      <c r="I1" s="51"/>
      <c r="J1" s="51"/>
      <c r="K1" s="3"/>
    </row>
    <row r="2" spans="1:22" ht="15" customHeight="1" x14ac:dyDescent="0.15">
      <c r="I2" s="4" t="s">
        <v>0</v>
      </c>
      <c r="J2" s="4" t="s">
        <v>2</v>
      </c>
      <c r="K2" s="4"/>
      <c r="M2" s="50" t="s">
        <v>16</v>
      </c>
      <c r="N2" s="50"/>
      <c r="O2" s="50" t="s">
        <v>17</v>
      </c>
      <c r="P2" s="50"/>
      <c r="Q2" s="50"/>
    </row>
    <row r="3" spans="1:22" ht="15" customHeight="1" x14ac:dyDescent="0.15">
      <c r="C3" s="16" t="s">
        <v>5</v>
      </c>
      <c r="D3" s="5" t="s">
        <v>8</v>
      </c>
      <c r="E3" s="4" t="s">
        <v>18</v>
      </c>
      <c r="F3" s="5" t="s">
        <v>7</v>
      </c>
      <c r="H3" s="28" t="s">
        <v>13</v>
      </c>
      <c r="I3" s="29">
        <f>F4</f>
        <v>0</v>
      </c>
      <c r="J3" s="6">
        <f>F5</f>
        <v>10</v>
      </c>
      <c r="M3" s="8" t="s">
        <v>1</v>
      </c>
      <c r="N3" s="43" t="s">
        <v>10</v>
      </c>
      <c r="O3" s="8" t="s">
        <v>0</v>
      </c>
      <c r="P3" s="43" t="s">
        <v>2</v>
      </c>
      <c r="Q3" s="7" t="s">
        <v>4</v>
      </c>
    </row>
    <row r="4" spans="1:22" ht="15" customHeight="1" thickBot="1" x14ac:dyDescent="0.2">
      <c r="B4" s="10" t="s">
        <v>0</v>
      </c>
      <c r="C4" s="11">
        <v>20</v>
      </c>
      <c r="D4" s="11">
        <v>5</v>
      </c>
      <c r="E4" s="8">
        <f>COUNTIF(B9:F13,1)/25</f>
        <v>0.48</v>
      </c>
      <c r="F4" s="11">
        <v>0</v>
      </c>
      <c r="H4" s="5" t="s">
        <v>14</v>
      </c>
      <c r="I4" s="6">
        <f>D4</f>
        <v>5</v>
      </c>
      <c r="J4" s="6">
        <f>D5</f>
        <v>5</v>
      </c>
      <c r="L4" s="9">
        <v>0</v>
      </c>
      <c r="M4" s="9">
        <f>L4/25</f>
        <v>0</v>
      </c>
      <c r="N4" s="9">
        <f>1-M4</f>
        <v>1</v>
      </c>
      <c r="O4" s="9" t="e">
        <f>$D$4*M4^$F$4*L4</f>
        <v>#NUM!</v>
      </c>
      <c r="P4" s="2">
        <f>$D$5*N4^$F$5*(25-L4)</f>
        <v>125</v>
      </c>
      <c r="Q4" s="2" t="e">
        <f>SUM(O4:P4)</f>
        <v>#NUM!</v>
      </c>
    </row>
    <row r="5" spans="1:22" ht="15" customHeight="1" x14ac:dyDescent="0.15">
      <c r="B5" s="41" t="s">
        <v>2</v>
      </c>
      <c r="C5" s="42">
        <v>20</v>
      </c>
      <c r="D5" s="42">
        <v>5</v>
      </c>
      <c r="E5" s="43">
        <f>COUNTIF(B9:F13,2)/25</f>
        <v>0.52</v>
      </c>
      <c r="F5" s="42">
        <v>10</v>
      </c>
      <c r="H5" s="12" t="s">
        <v>15</v>
      </c>
      <c r="I5" s="13" t="s">
        <v>3</v>
      </c>
      <c r="J5" s="14" t="s">
        <v>3</v>
      </c>
      <c r="K5" s="15"/>
      <c r="L5" s="39">
        <f>1+L4</f>
        <v>1</v>
      </c>
      <c r="M5" s="39">
        <f t="shared" ref="M5:M29" si="0">L5/25</f>
        <v>0.04</v>
      </c>
      <c r="N5" s="39">
        <f t="shared" ref="N5:N29" si="1">1-M5</f>
        <v>0.96</v>
      </c>
      <c r="O5" s="39">
        <f t="shared" ref="O5:O29" si="2">$D$4*M5^$F$4*L5</f>
        <v>5</v>
      </c>
      <c r="P5" s="40">
        <f t="shared" ref="P5:P29" si="3">$D$5*N5^$F$5*(25-L5)</f>
        <v>79.779916318980113</v>
      </c>
      <c r="Q5" s="40">
        <f t="shared" ref="Q5:Q29" si="4">SUM(O5:P5)</f>
        <v>84.779916318980113</v>
      </c>
    </row>
    <row r="6" spans="1:22" ht="15" customHeight="1" x14ac:dyDescent="0.15">
      <c r="B6" s="16"/>
      <c r="C6" s="16"/>
      <c r="D6" s="16"/>
      <c r="E6" s="16"/>
      <c r="F6" s="16"/>
      <c r="G6" s="16"/>
      <c r="H6" s="17">
        <v>0</v>
      </c>
      <c r="I6" s="18" t="e">
        <f>$I$4*(H6^$I$3)</f>
        <v>#NUM!</v>
      </c>
      <c r="J6" s="19">
        <f>$J$4*(1-H6)^$J$3</f>
        <v>5</v>
      </c>
      <c r="K6" s="18"/>
      <c r="L6" s="9">
        <f t="shared" ref="L6:L29" si="5">1+L5</f>
        <v>2</v>
      </c>
      <c r="M6" s="9">
        <f t="shared" si="0"/>
        <v>0.08</v>
      </c>
      <c r="N6" s="9">
        <f t="shared" si="1"/>
        <v>0.92</v>
      </c>
      <c r="O6" s="9">
        <f t="shared" si="2"/>
        <v>10</v>
      </c>
      <c r="P6" s="2">
        <f t="shared" si="3"/>
        <v>49.954672235717723</v>
      </c>
      <c r="Q6" s="2">
        <f t="shared" si="4"/>
        <v>59.954672235717723</v>
      </c>
      <c r="U6" s="20"/>
      <c r="V6" s="20"/>
    </row>
    <row r="7" spans="1:22" ht="15" customHeight="1" x14ac:dyDescent="0.15">
      <c r="B7" s="16" t="s">
        <v>9</v>
      </c>
      <c r="H7" s="17">
        <f>0.1+H6</f>
        <v>0.1</v>
      </c>
      <c r="I7" s="18">
        <f t="shared" ref="I7:I16" si="6">$I$4*(H7^$I$3)</f>
        <v>5</v>
      </c>
      <c r="J7" s="19">
        <f t="shared" ref="J7:J16" si="7">$J$4*(1-H7)^$J$3</f>
        <v>1.7433922005000007</v>
      </c>
      <c r="K7" s="18"/>
      <c r="L7" s="9">
        <f t="shared" si="5"/>
        <v>3</v>
      </c>
      <c r="M7" s="9">
        <f t="shared" si="0"/>
        <v>0.12</v>
      </c>
      <c r="N7" s="9">
        <f t="shared" si="1"/>
        <v>0.88</v>
      </c>
      <c r="O7" s="9">
        <f t="shared" si="2"/>
        <v>15</v>
      </c>
      <c r="P7" s="2">
        <f t="shared" si="3"/>
        <v>30.635107361034233</v>
      </c>
      <c r="Q7" s="2">
        <f t="shared" si="4"/>
        <v>45.63510736103423</v>
      </c>
      <c r="T7" s="4"/>
      <c r="U7" s="3"/>
      <c r="V7" s="3"/>
    </row>
    <row r="8" spans="1:22" ht="15" customHeight="1" thickBot="1" x14ac:dyDescent="0.2">
      <c r="H8" s="17">
        <f>0.1+H7</f>
        <v>0.2</v>
      </c>
      <c r="I8" s="18">
        <f t="shared" si="6"/>
        <v>5</v>
      </c>
      <c r="J8" s="19">
        <f t="shared" si="7"/>
        <v>0.53687091200000059</v>
      </c>
      <c r="K8" s="18"/>
      <c r="L8" s="39">
        <f t="shared" si="5"/>
        <v>4</v>
      </c>
      <c r="M8" s="39">
        <f t="shared" si="0"/>
        <v>0.16</v>
      </c>
      <c r="N8" s="39">
        <f t="shared" si="1"/>
        <v>0.84</v>
      </c>
      <c r="O8" s="39">
        <f t="shared" si="2"/>
        <v>20</v>
      </c>
      <c r="P8" s="40">
        <f t="shared" si="3"/>
        <v>18.364629020427984</v>
      </c>
      <c r="Q8" s="40">
        <f t="shared" si="4"/>
        <v>38.364629020427984</v>
      </c>
      <c r="T8" s="4"/>
      <c r="U8" s="3"/>
      <c r="V8" s="3"/>
    </row>
    <row r="9" spans="1:22" ht="15" customHeight="1" thickBot="1" x14ac:dyDescent="0.2">
      <c r="B9" s="21">
        <v>1</v>
      </c>
      <c r="C9" s="21">
        <v>1</v>
      </c>
      <c r="D9" s="21">
        <v>1</v>
      </c>
      <c r="E9" s="21">
        <v>1</v>
      </c>
      <c r="F9" s="21">
        <v>1</v>
      </c>
      <c r="H9" s="17">
        <f t="shared" ref="H9:H16" si="8">0.1+H8</f>
        <v>0.30000000000000004</v>
      </c>
      <c r="I9" s="18">
        <f t="shared" si="6"/>
        <v>5</v>
      </c>
      <c r="J9" s="19">
        <f t="shared" si="7"/>
        <v>0.14123762449999991</v>
      </c>
      <c r="K9" s="18"/>
      <c r="L9" s="9">
        <f t="shared" si="5"/>
        <v>5</v>
      </c>
      <c r="M9" s="9">
        <f t="shared" si="0"/>
        <v>0.2</v>
      </c>
      <c r="N9" s="9">
        <f t="shared" si="1"/>
        <v>0.8</v>
      </c>
      <c r="O9" s="9">
        <f t="shared" si="2"/>
        <v>25</v>
      </c>
      <c r="P9" s="2">
        <f t="shared" si="3"/>
        <v>10.737418240000011</v>
      </c>
      <c r="Q9" s="2">
        <f t="shared" si="4"/>
        <v>35.737418240000011</v>
      </c>
    </row>
    <row r="10" spans="1:22" ht="15" customHeight="1" thickBot="1" x14ac:dyDescent="0.2">
      <c r="B10" s="21">
        <v>1</v>
      </c>
      <c r="C10" s="21">
        <v>1</v>
      </c>
      <c r="D10" s="21">
        <v>1</v>
      </c>
      <c r="E10" s="21">
        <v>1</v>
      </c>
      <c r="F10" s="21">
        <v>1</v>
      </c>
      <c r="H10" s="17">
        <f t="shared" si="8"/>
        <v>0.4</v>
      </c>
      <c r="I10" s="18">
        <f t="shared" si="6"/>
        <v>5</v>
      </c>
      <c r="J10" s="19">
        <f t="shared" si="7"/>
        <v>3.0233087999999995E-2</v>
      </c>
      <c r="K10" s="18"/>
      <c r="L10" s="9">
        <f t="shared" si="5"/>
        <v>6</v>
      </c>
      <c r="M10" s="9">
        <f t="shared" si="0"/>
        <v>0.24</v>
      </c>
      <c r="N10" s="9">
        <f t="shared" si="1"/>
        <v>0.76</v>
      </c>
      <c r="O10" s="9">
        <f t="shared" si="2"/>
        <v>30</v>
      </c>
      <c r="P10" s="2">
        <f t="shared" si="3"/>
        <v>6.1074444857229429</v>
      </c>
      <c r="Q10" s="2">
        <f t="shared" si="4"/>
        <v>36.107444485722944</v>
      </c>
    </row>
    <row r="11" spans="1:22" ht="15" customHeight="1" thickBot="1" x14ac:dyDescent="0.2">
      <c r="B11" s="21">
        <v>1</v>
      </c>
      <c r="C11" s="21">
        <v>1</v>
      </c>
      <c r="D11" s="21">
        <v>2</v>
      </c>
      <c r="E11" s="21">
        <v>2</v>
      </c>
      <c r="F11" s="21">
        <v>2</v>
      </c>
      <c r="H11" s="17">
        <f t="shared" si="8"/>
        <v>0.5</v>
      </c>
      <c r="I11" s="18">
        <f t="shared" si="6"/>
        <v>5</v>
      </c>
      <c r="J11" s="19">
        <f t="shared" si="7"/>
        <v>4.8828125E-3</v>
      </c>
      <c r="K11" s="18"/>
      <c r="L11" s="9">
        <f t="shared" si="5"/>
        <v>7</v>
      </c>
      <c r="M11" s="9">
        <f t="shared" si="0"/>
        <v>0.28000000000000003</v>
      </c>
      <c r="N11" s="9">
        <f t="shared" si="1"/>
        <v>0.72</v>
      </c>
      <c r="O11" s="9">
        <f t="shared" si="2"/>
        <v>35</v>
      </c>
      <c r="P11" s="2">
        <f t="shared" si="3"/>
        <v>3.3695156183620378</v>
      </c>
      <c r="Q11" s="2">
        <f t="shared" si="4"/>
        <v>38.369515618362037</v>
      </c>
    </row>
    <row r="12" spans="1:22" ht="15" customHeight="1" thickBot="1" x14ac:dyDescent="0.2">
      <c r="B12" s="21">
        <v>2</v>
      </c>
      <c r="C12" s="21">
        <v>2</v>
      </c>
      <c r="D12" s="21">
        <v>2</v>
      </c>
      <c r="E12" s="21">
        <v>2</v>
      </c>
      <c r="F12" s="21">
        <v>2</v>
      </c>
      <c r="H12" s="17">
        <f t="shared" si="8"/>
        <v>0.6</v>
      </c>
      <c r="I12" s="18">
        <f t="shared" si="6"/>
        <v>5</v>
      </c>
      <c r="J12" s="19">
        <f t="shared" si="7"/>
        <v>5.2428800000000057E-4</v>
      </c>
      <c r="K12" s="18"/>
      <c r="L12" s="9">
        <f t="shared" si="5"/>
        <v>8</v>
      </c>
      <c r="M12" s="9">
        <f t="shared" si="0"/>
        <v>0.32</v>
      </c>
      <c r="N12" s="9">
        <f t="shared" si="1"/>
        <v>0.67999999999999994</v>
      </c>
      <c r="O12" s="9">
        <f t="shared" si="2"/>
        <v>40</v>
      </c>
      <c r="P12" s="2">
        <f t="shared" si="3"/>
        <v>1.7968343971336276</v>
      </c>
      <c r="Q12" s="2">
        <f t="shared" si="4"/>
        <v>41.79683439713363</v>
      </c>
    </row>
    <row r="13" spans="1:22" ht="15" customHeight="1" thickBot="1" x14ac:dyDescent="0.2">
      <c r="B13" s="21">
        <v>2</v>
      </c>
      <c r="C13" s="21">
        <v>2</v>
      </c>
      <c r="D13" s="21">
        <v>2</v>
      </c>
      <c r="E13" s="21">
        <v>2</v>
      </c>
      <c r="F13" s="21">
        <v>2</v>
      </c>
      <c r="G13" s="22"/>
      <c r="H13" s="17">
        <f t="shared" si="8"/>
        <v>0.7</v>
      </c>
      <c r="I13" s="18">
        <f t="shared" si="6"/>
        <v>5</v>
      </c>
      <c r="J13" s="19">
        <f t="shared" si="7"/>
        <v>2.9524500000000039E-5</v>
      </c>
      <c r="K13" s="18"/>
      <c r="L13" s="9">
        <f t="shared" si="5"/>
        <v>9</v>
      </c>
      <c r="M13" s="9">
        <f t="shared" si="0"/>
        <v>0.36</v>
      </c>
      <c r="N13" s="9">
        <f t="shared" si="1"/>
        <v>0.64</v>
      </c>
      <c r="O13" s="9">
        <f t="shared" si="2"/>
        <v>45</v>
      </c>
      <c r="P13" s="2">
        <f t="shared" si="3"/>
        <v>0.92233720368547767</v>
      </c>
      <c r="Q13" s="2">
        <f t="shared" si="4"/>
        <v>45.92233720368548</v>
      </c>
    </row>
    <row r="14" spans="1:22" ht="15" customHeight="1" x14ac:dyDescent="0.15">
      <c r="H14" s="17">
        <f t="shared" si="8"/>
        <v>0.79999999999999993</v>
      </c>
      <c r="I14" s="18">
        <f t="shared" si="6"/>
        <v>5</v>
      </c>
      <c r="J14" s="19">
        <f t="shared" si="7"/>
        <v>5.1200000000000183E-7</v>
      </c>
      <c r="K14" s="18"/>
      <c r="L14" s="9">
        <f t="shared" si="5"/>
        <v>10</v>
      </c>
      <c r="M14" s="9">
        <f t="shared" si="0"/>
        <v>0.4</v>
      </c>
      <c r="N14" s="9">
        <f t="shared" si="1"/>
        <v>0.6</v>
      </c>
      <c r="O14" s="9">
        <f t="shared" si="2"/>
        <v>50</v>
      </c>
      <c r="P14" s="2">
        <f t="shared" si="3"/>
        <v>0.4534963199999999</v>
      </c>
      <c r="Q14" s="2">
        <f t="shared" si="4"/>
        <v>50.453496319999999</v>
      </c>
    </row>
    <row r="15" spans="1:22" ht="15" customHeight="1" x14ac:dyDescent="0.15">
      <c r="C15" s="16"/>
      <c r="D15" s="16"/>
      <c r="E15" s="16"/>
      <c r="F15" s="16"/>
      <c r="H15" s="17">
        <f t="shared" si="8"/>
        <v>0.89999999999999991</v>
      </c>
      <c r="I15" s="18">
        <f t="shared" si="6"/>
        <v>5</v>
      </c>
      <c r="J15" s="19">
        <f t="shared" si="7"/>
        <v>5.0000000000000448E-10</v>
      </c>
      <c r="K15" s="18"/>
      <c r="L15" s="9">
        <f t="shared" si="5"/>
        <v>11</v>
      </c>
      <c r="M15" s="9">
        <f t="shared" si="0"/>
        <v>0.44</v>
      </c>
      <c r="N15" s="9">
        <f t="shared" si="1"/>
        <v>0.56000000000000005</v>
      </c>
      <c r="O15" s="9">
        <f t="shared" si="2"/>
        <v>55</v>
      </c>
      <c r="P15" s="2">
        <f t="shared" si="3"/>
        <v>0.21231384236728007</v>
      </c>
      <c r="Q15" s="2">
        <f t="shared" si="4"/>
        <v>55.21231384236728</v>
      </c>
    </row>
    <row r="16" spans="1:22" ht="15" customHeight="1" thickBot="1" x14ac:dyDescent="0.2">
      <c r="B16" s="27" t="s">
        <v>0</v>
      </c>
      <c r="H16" s="23">
        <f t="shared" si="8"/>
        <v>0.99999999999999989</v>
      </c>
      <c r="I16" s="24">
        <f t="shared" si="6"/>
        <v>5</v>
      </c>
      <c r="J16" s="25">
        <f t="shared" si="7"/>
        <v>1.4225655996704496E-159</v>
      </c>
      <c r="K16" s="18"/>
      <c r="L16" s="9">
        <f t="shared" si="5"/>
        <v>12</v>
      </c>
      <c r="M16" s="9">
        <f t="shared" si="0"/>
        <v>0.48</v>
      </c>
      <c r="N16" s="9">
        <f t="shared" si="1"/>
        <v>0.52</v>
      </c>
      <c r="O16" s="9">
        <f t="shared" si="2"/>
        <v>60</v>
      </c>
      <c r="P16" s="2">
        <f t="shared" si="3"/>
        <v>9.3960818866887105E-2</v>
      </c>
      <c r="Q16" s="2">
        <f t="shared" si="4"/>
        <v>60.09396081886689</v>
      </c>
    </row>
    <row r="17" spans="2:17" ht="15" customHeight="1" x14ac:dyDescent="0.15">
      <c r="B17" s="30">
        <f t="shared" ref="B17:F21" si="9">IF(B9=1,$D$4*$E$4^$F$4,0)</f>
        <v>5</v>
      </c>
      <c r="C17" s="31">
        <f t="shared" si="9"/>
        <v>5</v>
      </c>
      <c r="D17" s="31">
        <f t="shared" si="9"/>
        <v>5</v>
      </c>
      <c r="E17" s="31">
        <f t="shared" si="9"/>
        <v>5</v>
      </c>
      <c r="F17" s="32">
        <f t="shared" si="9"/>
        <v>5</v>
      </c>
      <c r="L17" s="9">
        <f t="shared" si="5"/>
        <v>13</v>
      </c>
      <c r="M17" s="9">
        <f t="shared" si="0"/>
        <v>0.52</v>
      </c>
      <c r="N17" s="9">
        <f t="shared" si="1"/>
        <v>0.48</v>
      </c>
      <c r="O17" s="9">
        <f t="shared" si="2"/>
        <v>65</v>
      </c>
      <c r="P17" s="2">
        <f t="shared" si="3"/>
        <v>3.8955037265127009E-2</v>
      </c>
      <c r="Q17" s="2">
        <f t="shared" si="4"/>
        <v>65.038955037265126</v>
      </c>
    </row>
    <row r="18" spans="2:17" ht="15" customHeight="1" x14ac:dyDescent="0.15">
      <c r="B18" s="33">
        <f t="shared" si="9"/>
        <v>5</v>
      </c>
      <c r="C18" s="34">
        <f t="shared" si="9"/>
        <v>5</v>
      </c>
      <c r="D18" s="34">
        <f t="shared" si="9"/>
        <v>5</v>
      </c>
      <c r="E18" s="34">
        <f t="shared" si="9"/>
        <v>5</v>
      </c>
      <c r="F18" s="35">
        <f t="shared" si="9"/>
        <v>5</v>
      </c>
      <c r="L18" s="9">
        <f t="shared" si="5"/>
        <v>14</v>
      </c>
      <c r="M18" s="9">
        <f t="shared" si="0"/>
        <v>0.56000000000000005</v>
      </c>
      <c r="N18" s="9">
        <f t="shared" si="1"/>
        <v>0.43999999999999995</v>
      </c>
      <c r="O18" s="9">
        <f t="shared" si="2"/>
        <v>70</v>
      </c>
      <c r="P18" s="2">
        <f t="shared" si="3"/>
        <v>1.4958548516129985E-2</v>
      </c>
      <c r="Q18" s="2">
        <f t="shared" si="4"/>
        <v>70.014958548516134</v>
      </c>
    </row>
    <row r="19" spans="2:17" ht="15" customHeight="1" x14ac:dyDescent="0.15">
      <c r="B19" s="33">
        <f t="shared" si="9"/>
        <v>5</v>
      </c>
      <c r="C19" s="34">
        <f t="shared" si="9"/>
        <v>5</v>
      </c>
      <c r="D19" s="34">
        <f t="shared" si="9"/>
        <v>0</v>
      </c>
      <c r="E19" s="34">
        <f t="shared" si="9"/>
        <v>0</v>
      </c>
      <c r="F19" s="35">
        <f t="shared" si="9"/>
        <v>0</v>
      </c>
      <c r="L19" s="9">
        <f t="shared" si="5"/>
        <v>15</v>
      </c>
      <c r="M19" s="9">
        <f t="shared" si="0"/>
        <v>0.6</v>
      </c>
      <c r="N19" s="9">
        <f t="shared" si="1"/>
        <v>0.4</v>
      </c>
      <c r="O19" s="9">
        <f t="shared" si="2"/>
        <v>75</v>
      </c>
      <c r="P19" s="2">
        <f t="shared" si="3"/>
        <v>5.2428800000000053E-3</v>
      </c>
      <c r="Q19" s="2">
        <f t="shared" si="4"/>
        <v>75.005242879999997</v>
      </c>
    </row>
    <row r="20" spans="2:17" ht="15" customHeight="1" x14ac:dyDescent="0.15">
      <c r="B20" s="33">
        <f t="shared" si="9"/>
        <v>0</v>
      </c>
      <c r="C20" s="34">
        <f t="shared" si="9"/>
        <v>0</v>
      </c>
      <c r="D20" s="34">
        <f t="shared" si="9"/>
        <v>0</v>
      </c>
      <c r="E20" s="34">
        <f t="shared" si="9"/>
        <v>0</v>
      </c>
      <c r="F20" s="35">
        <f t="shared" si="9"/>
        <v>0</v>
      </c>
      <c r="L20" s="9">
        <f t="shared" si="5"/>
        <v>16</v>
      </c>
      <c r="M20" s="9">
        <f t="shared" si="0"/>
        <v>0.64</v>
      </c>
      <c r="N20" s="9">
        <f t="shared" si="1"/>
        <v>0.36</v>
      </c>
      <c r="O20" s="9">
        <f t="shared" si="2"/>
        <v>80</v>
      </c>
      <c r="P20" s="2">
        <f t="shared" si="3"/>
        <v>1.6452712980283388E-3</v>
      </c>
      <c r="Q20" s="2">
        <f t="shared" si="4"/>
        <v>80.001645271298031</v>
      </c>
    </row>
    <row r="21" spans="2:17" ht="15" customHeight="1" thickBot="1" x14ac:dyDescent="0.2">
      <c r="B21" s="36">
        <f t="shared" si="9"/>
        <v>0</v>
      </c>
      <c r="C21" s="37">
        <f t="shared" si="9"/>
        <v>0</v>
      </c>
      <c r="D21" s="37">
        <f t="shared" si="9"/>
        <v>0</v>
      </c>
      <c r="E21" s="37">
        <f t="shared" si="9"/>
        <v>0</v>
      </c>
      <c r="F21" s="38">
        <f t="shared" si="9"/>
        <v>0</v>
      </c>
      <c r="L21" s="9">
        <f t="shared" si="5"/>
        <v>17</v>
      </c>
      <c r="M21" s="9">
        <f t="shared" si="0"/>
        <v>0.68</v>
      </c>
      <c r="N21" s="9">
        <f t="shared" si="1"/>
        <v>0.31999999999999995</v>
      </c>
      <c r="O21" s="9">
        <f t="shared" si="2"/>
        <v>85</v>
      </c>
      <c r="P21" s="2">
        <f t="shared" si="3"/>
        <v>4.5035996273704888E-4</v>
      </c>
      <c r="Q21" s="2">
        <f t="shared" si="4"/>
        <v>85.000450359962741</v>
      </c>
    </row>
    <row r="22" spans="2:17" ht="15" customHeight="1" x14ac:dyDescent="0.15">
      <c r="E22" s="26" t="s">
        <v>12</v>
      </c>
      <c r="F22" s="44">
        <f>SUM(B17:F21)</f>
        <v>60</v>
      </c>
      <c r="L22" s="9">
        <f t="shared" si="5"/>
        <v>18</v>
      </c>
      <c r="M22" s="9">
        <f t="shared" si="0"/>
        <v>0.72</v>
      </c>
      <c r="N22" s="9">
        <f t="shared" si="1"/>
        <v>0.28000000000000003</v>
      </c>
      <c r="O22" s="9">
        <f t="shared" si="2"/>
        <v>90</v>
      </c>
      <c r="P22" s="2">
        <f t="shared" si="3"/>
        <v>1.0366886834339847E-4</v>
      </c>
      <c r="Q22" s="2">
        <f t="shared" si="4"/>
        <v>90.000103668868348</v>
      </c>
    </row>
    <row r="23" spans="2:17" ht="15" customHeight="1" x14ac:dyDescent="0.15">
      <c r="C23" s="16"/>
      <c r="D23" s="16"/>
      <c r="E23" s="16"/>
      <c r="F23" s="16"/>
      <c r="G23" s="16"/>
      <c r="L23" s="9">
        <f t="shared" si="5"/>
        <v>19</v>
      </c>
      <c r="M23" s="9">
        <f t="shared" si="0"/>
        <v>0.76</v>
      </c>
      <c r="N23" s="9">
        <f t="shared" si="1"/>
        <v>0.24</v>
      </c>
      <c r="O23" s="9">
        <f t="shared" si="2"/>
        <v>95</v>
      </c>
      <c r="P23" s="2">
        <f t="shared" si="3"/>
        <v>1.9021014289612797E-5</v>
      </c>
      <c r="Q23" s="2">
        <f t="shared" si="4"/>
        <v>95.000019021014296</v>
      </c>
    </row>
    <row r="24" spans="2:17" ht="15" customHeight="1" thickBot="1" x14ac:dyDescent="0.2">
      <c r="B24" s="45" t="s">
        <v>2</v>
      </c>
      <c r="L24" s="9">
        <f t="shared" si="5"/>
        <v>20</v>
      </c>
      <c r="M24" s="9">
        <f t="shared" si="0"/>
        <v>0.8</v>
      </c>
      <c r="N24" s="9">
        <f t="shared" si="1"/>
        <v>0.19999999999999996</v>
      </c>
      <c r="O24" s="9">
        <f t="shared" si="2"/>
        <v>100</v>
      </c>
      <c r="P24" s="2">
        <f t="shared" si="3"/>
        <v>2.5599999999999933E-6</v>
      </c>
      <c r="Q24" s="2">
        <f t="shared" si="4"/>
        <v>100.00000256</v>
      </c>
    </row>
    <row r="25" spans="2:17" ht="15" customHeight="1" x14ac:dyDescent="0.15">
      <c r="B25" s="30">
        <f>IF(B9=2,$D$5*$E$5^$F$5,0)</f>
        <v>0</v>
      </c>
      <c r="C25" s="31">
        <f t="shared" ref="B25:F27" si="10">IF(C9=2,$D$5*$E$5^$F$5,0)</f>
        <v>0</v>
      </c>
      <c r="D25" s="31">
        <f t="shared" si="10"/>
        <v>0</v>
      </c>
      <c r="E25" s="31">
        <f t="shared" si="10"/>
        <v>0</v>
      </c>
      <c r="F25" s="32">
        <f t="shared" si="10"/>
        <v>0</v>
      </c>
      <c r="L25" s="9">
        <f t="shared" si="5"/>
        <v>21</v>
      </c>
      <c r="M25" s="9">
        <f t="shared" si="0"/>
        <v>0.84</v>
      </c>
      <c r="N25" s="9">
        <f t="shared" si="1"/>
        <v>0.16000000000000003</v>
      </c>
      <c r="O25" s="9">
        <f t="shared" si="2"/>
        <v>105</v>
      </c>
      <c r="P25" s="2">
        <f t="shared" si="3"/>
        <v>2.1990232555520047E-7</v>
      </c>
      <c r="Q25" s="2">
        <f t="shared" si="4"/>
        <v>105.00000021990232</v>
      </c>
    </row>
    <row r="26" spans="2:17" ht="15" customHeight="1" x14ac:dyDescent="0.15">
      <c r="B26" s="33">
        <f t="shared" si="10"/>
        <v>0</v>
      </c>
      <c r="C26" s="34">
        <f t="shared" si="10"/>
        <v>0</v>
      </c>
      <c r="D26" s="34">
        <f t="shared" si="10"/>
        <v>0</v>
      </c>
      <c r="E26" s="34">
        <f t="shared" si="10"/>
        <v>0</v>
      </c>
      <c r="F26" s="35">
        <f t="shared" si="10"/>
        <v>0</v>
      </c>
      <c r="L26" s="9">
        <f t="shared" si="5"/>
        <v>22</v>
      </c>
      <c r="M26" s="9">
        <f t="shared" si="0"/>
        <v>0.88</v>
      </c>
      <c r="N26" s="9">
        <f t="shared" si="1"/>
        <v>0.12</v>
      </c>
      <c r="O26" s="9">
        <f t="shared" si="2"/>
        <v>110</v>
      </c>
      <c r="P26" s="2">
        <f t="shared" si="3"/>
        <v>9.2876046335999986E-9</v>
      </c>
      <c r="Q26" s="2">
        <f t="shared" si="4"/>
        <v>110.0000000092876</v>
      </c>
    </row>
    <row r="27" spans="2:17" ht="15" customHeight="1" x14ac:dyDescent="0.15">
      <c r="B27" s="33">
        <f t="shared" si="10"/>
        <v>0</v>
      </c>
      <c r="C27" s="34">
        <f t="shared" si="10"/>
        <v>0</v>
      </c>
      <c r="D27" s="34">
        <f t="shared" si="10"/>
        <v>7.2277552974528547E-3</v>
      </c>
      <c r="E27" s="34">
        <f t="shared" si="10"/>
        <v>7.2277552974528547E-3</v>
      </c>
      <c r="F27" s="35">
        <f t="shared" si="10"/>
        <v>7.2277552974528547E-3</v>
      </c>
      <c r="L27" s="9">
        <f t="shared" si="5"/>
        <v>23</v>
      </c>
      <c r="M27" s="9">
        <f t="shared" si="0"/>
        <v>0.92</v>
      </c>
      <c r="N27" s="9">
        <f t="shared" si="1"/>
        <v>7.999999999999996E-2</v>
      </c>
      <c r="O27" s="9">
        <f t="shared" si="2"/>
        <v>115</v>
      </c>
      <c r="P27" s="2">
        <f t="shared" si="3"/>
        <v>1.0737418239999943E-10</v>
      </c>
      <c r="Q27" s="2">
        <f t="shared" si="4"/>
        <v>115.00000000010738</v>
      </c>
    </row>
    <row r="28" spans="2:17" ht="15" customHeight="1" x14ac:dyDescent="0.15">
      <c r="B28" s="33">
        <f t="shared" ref="B28:F29" si="11">IF(B12=2,$D$5*$E$5^$F$5,0)</f>
        <v>7.2277552974528547E-3</v>
      </c>
      <c r="C28" s="34">
        <f t="shared" si="11"/>
        <v>7.2277552974528547E-3</v>
      </c>
      <c r="D28" s="34">
        <f t="shared" si="11"/>
        <v>7.2277552974528547E-3</v>
      </c>
      <c r="E28" s="34">
        <f t="shared" si="11"/>
        <v>7.2277552974528547E-3</v>
      </c>
      <c r="F28" s="35">
        <f t="shared" si="11"/>
        <v>7.2277552974528547E-3</v>
      </c>
      <c r="L28" s="9">
        <f t="shared" si="5"/>
        <v>24</v>
      </c>
      <c r="M28" s="9">
        <f t="shared" si="0"/>
        <v>0.96</v>
      </c>
      <c r="N28" s="9">
        <f t="shared" si="1"/>
        <v>4.0000000000000036E-2</v>
      </c>
      <c r="O28" s="9">
        <f t="shared" si="2"/>
        <v>120</v>
      </c>
      <c r="P28" s="2">
        <f t="shared" si="3"/>
        <v>5.2428800000000478E-14</v>
      </c>
      <c r="Q28" s="2">
        <f t="shared" si="4"/>
        <v>120.00000000000006</v>
      </c>
    </row>
    <row r="29" spans="2:17" ht="15" customHeight="1" thickBot="1" x14ac:dyDescent="0.2">
      <c r="B29" s="36">
        <f t="shared" si="11"/>
        <v>7.2277552974528547E-3</v>
      </c>
      <c r="C29" s="37">
        <f t="shared" si="11"/>
        <v>7.2277552974528547E-3</v>
      </c>
      <c r="D29" s="37">
        <f t="shared" si="11"/>
        <v>7.2277552974528547E-3</v>
      </c>
      <c r="E29" s="37">
        <f t="shared" si="11"/>
        <v>7.2277552974528547E-3</v>
      </c>
      <c r="F29" s="38">
        <f t="shared" si="11"/>
        <v>7.2277552974528547E-3</v>
      </c>
      <c r="L29" s="9">
        <f t="shared" si="5"/>
        <v>25</v>
      </c>
      <c r="M29" s="9">
        <f t="shared" si="0"/>
        <v>1</v>
      </c>
      <c r="N29" s="9">
        <f t="shared" si="1"/>
        <v>0</v>
      </c>
      <c r="O29" s="9">
        <f t="shared" si="2"/>
        <v>125</v>
      </c>
      <c r="P29" s="2">
        <f t="shared" si="3"/>
        <v>0</v>
      </c>
      <c r="Q29" s="2">
        <f t="shared" si="4"/>
        <v>125</v>
      </c>
    </row>
    <row r="30" spans="2:17" ht="15" customHeight="1" x14ac:dyDescent="0.15">
      <c r="E30" s="26" t="s">
        <v>12</v>
      </c>
      <c r="F30" s="46">
        <f>SUM(B25:F29)</f>
        <v>9.3960818866887119E-2</v>
      </c>
    </row>
  </sheetData>
  <scenarios current="0" show="0">
    <scenario name="habitat 2" locked="1" count="2" user="Authorized User" comment="Created by Authorized User on 10/2/99">
      <inputCells r="D11" val="0"/>
      <inputCells r="C9" val="0"/>
    </scenario>
  </scenarios>
  <mergeCells count="3">
    <mergeCell ref="M2:N2"/>
    <mergeCell ref="O2:Q2"/>
    <mergeCell ref="H1:J1"/>
  </mergeCells>
  <conditionalFormatting sqref="B9:F13">
    <cfRule type="cellIs" dxfId="3" priority="1" stopIfTrue="1" operator="equal">
      <formula>1</formula>
    </cfRule>
    <cfRule type="cellIs" dxfId="2" priority="2" stopIfTrue="1" operator="equal">
      <formula>2</formula>
    </cfRule>
  </conditionalFormatting>
  <printOptions headings="1" gridLines="1"/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0"/>
  <sheetViews>
    <sheetView workbookViewId="0">
      <selection activeCell="A2" sqref="A2"/>
    </sheetView>
  </sheetViews>
  <sheetFormatPr baseColWidth="10" defaultRowHeight="13" x14ac:dyDescent="0.15"/>
  <cols>
    <col min="1" max="1" width="9.1640625" style="2" customWidth="1"/>
    <col min="2" max="2" width="10.5" style="2" customWidth="1"/>
    <col min="3" max="3" width="11.5" style="2" customWidth="1"/>
    <col min="4" max="6" width="9.1640625" style="2" customWidth="1"/>
    <col min="7" max="7" width="12.1640625" customWidth="1"/>
    <col min="8" max="256" width="8.83203125" customWidth="1"/>
  </cols>
  <sheetData>
    <row r="1" spans="1:7" x14ac:dyDescent="0.15">
      <c r="A1" s="1" t="s">
        <v>19</v>
      </c>
    </row>
    <row r="2" spans="1:7" x14ac:dyDescent="0.15">
      <c r="A2" s="16" t="s">
        <v>21</v>
      </c>
      <c r="G2" s="47" t="s">
        <v>20</v>
      </c>
    </row>
    <row r="3" spans="1:7" x14ac:dyDescent="0.15">
      <c r="C3" s="16" t="s">
        <v>5</v>
      </c>
      <c r="D3" s="5" t="s">
        <v>8</v>
      </c>
      <c r="E3" s="4" t="s">
        <v>18</v>
      </c>
      <c r="F3" s="5" t="s">
        <v>7</v>
      </c>
      <c r="G3" s="47" t="s">
        <v>11</v>
      </c>
    </row>
    <row r="4" spans="1:7" x14ac:dyDescent="0.15">
      <c r="B4" s="10" t="s">
        <v>0</v>
      </c>
      <c r="C4" s="11">
        <v>20</v>
      </c>
      <c r="D4" s="11">
        <v>5</v>
      </c>
      <c r="E4" s="8">
        <f>COUNTIF(B9:F13,1)/25</f>
        <v>0.4</v>
      </c>
      <c r="F4" s="11">
        <v>0</v>
      </c>
      <c r="G4" s="48">
        <v>1</v>
      </c>
    </row>
    <row r="5" spans="1:7" x14ac:dyDescent="0.15">
      <c r="B5" s="41" t="s">
        <v>2</v>
      </c>
      <c r="C5" s="42">
        <v>20</v>
      </c>
      <c r="D5" s="42">
        <v>5</v>
      </c>
      <c r="E5" s="43">
        <f>COUNTIF(B9:F13,2)/25</f>
        <v>0.6</v>
      </c>
      <c r="F5" s="42">
        <v>10</v>
      </c>
      <c r="G5" s="49">
        <v>2</v>
      </c>
    </row>
    <row r="6" spans="1:7" x14ac:dyDescent="0.15">
      <c r="B6" s="16"/>
      <c r="C6" s="16"/>
      <c r="D6" s="16"/>
      <c r="E6" s="16"/>
      <c r="F6" s="16"/>
    </row>
    <row r="7" spans="1:7" x14ac:dyDescent="0.15">
      <c r="B7" s="16" t="s">
        <v>9</v>
      </c>
    </row>
    <row r="8" spans="1:7" ht="14" thickBot="1" x14ac:dyDescent="0.2"/>
    <row r="9" spans="1:7" ht="14" thickBot="1" x14ac:dyDescent="0.2">
      <c r="B9" s="21">
        <v>1</v>
      </c>
      <c r="C9" s="21">
        <v>1</v>
      </c>
      <c r="D9" s="21">
        <v>1</v>
      </c>
      <c r="E9" s="21">
        <v>1</v>
      </c>
      <c r="F9" s="21">
        <v>1</v>
      </c>
    </row>
    <row r="10" spans="1:7" ht="14" thickBot="1" x14ac:dyDescent="0.2">
      <c r="B10" s="21">
        <v>1</v>
      </c>
      <c r="C10" s="21">
        <v>1</v>
      </c>
      <c r="D10" s="21">
        <v>1</v>
      </c>
      <c r="E10" s="21">
        <v>1</v>
      </c>
      <c r="F10" s="21">
        <v>1</v>
      </c>
    </row>
    <row r="11" spans="1:7" ht="14" thickBot="1" x14ac:dyDescent="0.2">
      <c r="B11" s="21">
        <v>2</v>
      </c>
      <c r="C11" s="21">
        <v>2</v>
      </c>
      <c r="D11" s="21">
        <v>2</v>
      </c>
      <c r="E11" s="21">
        <v>2</v>
      </c>
      <c r="F11" s="21">
        <v>2</v>
      </c>
    </row>
    <row r="12" spans="1:7" ht="14" thickBot="1" x14ac:dyDescent="0.2">
      <c r="B12" s="21">
        <v>2</v>
      </c>
      <c r="C12" s="21">
        <v>2</v>
      </c>
      <c r="D12" s="21">
        <v>2</v>
      </c>
      <c r="E12" s="21">
        <v>2</v>
      </c>
      <c r="F12" s="21">
        <v>2</v>
      </c>
    </row>
    <row r="13" spans="1:7" ht="14" thickBot="1" x14ac:dyDescent="0.2">
      <c r="B13" s="21">
        <v>2</v>
      </c>
      <c r="C13" s="21">
        <v>2</v>
      </c>
      <c r="D13" s="21">
        <v>2</v>
      </c>
      <c r="E13" s="21">
        <v>2</v>
      </c>
      <c r="F13" s="21">
        <v>2</v>
      </c>
    </row>
    <row r="15" spans="1:7" x14ac:dyDescent="0.15">
      <c r="C15" s="16"/>
      <c r="D15" s="16"/>
      <c r="E15" s="16"/>
      <c r="F15" s="16"/>
    </row>
    <row r="16" spans="1:7" ht="14" thickBot="1" x14ac:dyDescent="0.2">
      <c r="B16" s="27" t="s">
        <v>0</v>
      </c>
    </row>
    <row r="17" spans="2:6" x14ac:dyDescent="0.15">
      <c r="B17" s="30">
        <f>IF(AND(B9=1,COUNTIF(A8:C10,1)&gt;=$G$4),$D$4*$E$4^$F$4,0)</f>
        <v>5</v>
      </c>
      <c r="C17" s="31">
        <f>IF(AND(C9=1,COUNTIF(B8:D10,1)&gt;=$G$4),$D$4*$E$4^$F$4,0)</f>
        <v>5</v>
      </c>
      <c r="D17" s="31">
        <f>IF(AND(D9=1,COUNTIF(C8:E10,1)&gt;=$G$4),$D$4*$E$4^$F$4,0)</f>
        <v>5</v>
      </c>
      <c r="E17" s="31">
        <f>IF(AND(E9=1,COUNTIF(D8:F10,1)&gt;=$G$4),$D$4*$E$4^$F$4,0)</f>
        <v>5</v>
      </c>
      <c r="F17" s="32">
        <f>IF(AND(F9=1,COUNTIF(E8:G10,1)&gt;=$G$4),$D$4*$E$4^$F$4,0)</f>
        <v>5</v>
      </c>
    </row>
    <row r="18" spans="2:6" x14ac:dyDescent="0.15">
      <c r="B18" s="33">
        <f t="shared" ref="B18:F21" si="0">IF(AND(B10=1,COUNTIF(A9:C11,1)&gt;=$G$4),$D$4*$E$4^$F$4,0)</f>
        <v>5</v>
      </c>
      <c r="C18" s="34">
        <f t="shared" si="0"/>
        <v>5</v>
      </c>
      <c r="D18" s="34">
        <f t="shared" si="0"/>
        <v>5</v>
      </c>
      <c r="E18" s="34">
        <f t="shared" si="0"/>
        <v>5</v>
      </c>
      <c r="F18" s="35">
        <f t="shared" si="0"/>
        <v>5</v>
      </c>
    </row>
    <row r="19" spans="2:6" x14ac:dyDescent="0.15">
      <c r="B19" s="33">
        <f t="shared" si="0"/>
        <v>0</v>
      </c>
      <c r="C19" s="34">
        <f t="shared" si="0"/>
        <v>0</v>
      </c>
      <c r="D19" s="34">
        <f t="shared" si="0"/>
        <v>0</v>
      </c>
      <c r="E19" s="34">
        <f t="shared" si="0"/>
        <v>0</v>
      </c>
      <c r="F19" s="35">
        <f t="shared" si="0"/>
        <v>0</v>
      </c>
    </row>
    <row r="20" spans="2:6" x14ac:dyDescent="0.15">
      <c r="B20" s="33">
        <f t="shared" si="0"/>
        <v>0</v>
      </c>
      <c r="C20" s="34">
        <f t="shared" si="0"/>
        <v>0</v>
      </c>
      <c r="D20" s="34">
        <f t="shared" si="0"/>
        <v>0</v>
      </c>
      <c r="E20" s="34">
        <f t="shared" si="0"/>
        <v>0</v>
      </c>
      <c r="F20" s="35">
        <f t="shared" si="0"/>
        <v>0</v>
      </c>
    </row>
    <row r="21" spans="2:6" ht="14" thickBot="1" x14ac:dyDescent="0.2">
      <c r="B21" s="36">
        <f t="shared" si="0"/>
        <v>0</v>
      </c>
      <c r="C21" s="37">
        <f t="shared" si="0"/>
        <v>0</v>
      </c>
      <c r="D21" s="37">
        <f t="shared" si="0"/>
        <v>0</v>
      </c>
      <c r="E21" s="37">
        <f t="shared" si="0"/>
        <v>0</v>
      </c>
      <c r="F21" s="38">
        <f t="shared" si="0"/>
        <v>0</v>
      </c>
    </row>
    <row r="22" spans="2:6" x14ac:dyDescent="0.15">
      <c r="E22" s="26" t="s">
        <v>12</v>
      </c>
      <c r="F22" s="44">
        <f>SUM(B17:F21)</f>
        <v>50</v>
      </c>
    </row>
    <row r="23" spans="2:6" x14ac:dyDescent="0.15">
      <c r="C23" s="16"/>
      <c r="D23" s="16"/>
      <c r="E23" s="16"/>
      <c r="F23" s="16"/>
    </row>
    <row r="24" spans="2:6" ht="14" thickBot="1" x14ac:dyDescent="0.2">
      <c r="B24" s="45" t="s">
        <v>2</v>
      </c>
    </row>
    <row r="25" spans="2:6" x14ac:dyDescent="0.15">
      <c r="B25" s="30">
        <f>IF(AND(B9=2,COUNTIF(A8:C11,2)&gt;=$G$5),$D$5*$E$5^$F$5,0)</f>
        <v>0</v>
      </c>
      <c r="C25" s="31">
        <f>IF(AND(C9=2,COUNTIF(B8:D11,2)&gt;=$G$5),$D$5*$E$5^$F$5,0)</f>
        <v>0</v>
      </c>
      <c r="D25" s="31">
        <f>IF(AND(D9=2,COUNTIF(C8:E11,2)&gt;=$G$5),$D$5*$E$5^$F$5,0)</f>
        <v>0</v>
      </c>
      <c r="E25" s="31">
        <f>IF(AND(E9=2,COUNTIF(D8:F11,2)&gt;=$G$5),$D$5*$E$5^$F$5,0)</f>
        <v>0</v>
      </c>
      <c r="F25" s="32">
        <f>IF(AND(F9=2,COUNTIF(E8:G11,2)&gt;=$G$5),$D$5*$E$5^$F$5,0)</f>
        <v>0</v>
      </c>
    </row>
    <row r="26" spans="2:6" x14ac:dyDescent="0.15">
      <c r="B26" s="33">
        <f t="shared" ref="B26:F29" si="1">IF(AND(B10=2,COUNTIF(A9:C12,2)&gt;=$G$5),$D$5*$E$5^$F$5,0)</f>
        <v>0</v>
      </c>
      <c r="C26" s="34">
        <f t="shared" si="1"/>
        <v>0</v>
      </c>
      <c r="D26" s="34">
        <f t="shared" si="1"/>
        <v>0</v>
      </c>
      <c r="E26" s="34">
        <f t="shared" si="1"/>
        <v>0</v>
      </c>
      <c r="F26" s="35">
        <f t="shared" si="1"/>
        <v>0</v>
      </c>
    </row>
    <row r="27" spans="2:6" x14ac:dyDescent="0.15">
      <c r="B27" s="33">
        <f t="shared" si="1"/>
        <v>3.0233087999999995E-2</v>
      </c>
      <c r="C27" s="34">
        <f t="shared" si="1"/>
        <v>3.0233087999999995E-2</v>
      </c>
      <c r="D27" s="34">
        <f t="shared" si="1"/>
        <v>3.0233087999999995E-2</v>
      </c>
      <c r="E27" s="34">
        <f t="shared" si="1"/>
        <v>3.0233087999999995E-2</v>
      </c>
      <c r="F27" s="35">
        <f t="shared" si="1"/>
        <v>3.0233087999999995E-2</v>
      </c>
    </row>
    <row r="28" spans="2:6" x14ac:dyDescent="0.15">
      <c r="B28" s="33">
        <f t="shared" si="1"/>
        <v>3.0233087999999995E-2</v>
      </c>
      <c r="C28" s="34">
        <f t="shared" si="1"/>
        <v>3.0233087999999995E-2</v>
      </c>
      <c r="D28" s="34">
        <f t="shared" si="1"/>
        <v>3.0233087999999995E-2</v>
      </c>
      <c r="E28" s="34">
        <f t="shared" si="1"/>
        <v>3.0233087999999995E-2</v>
      </c>
      <c r="F28" s="35">
        <f t="shared" si="1"/>
        <v>3.0233087999999995E-2</v>
      </c>
    </row>
    <row r="29" spans="2:6" ht="14" thickBot="1" x14ac:dyDescent="0.2">
      <c r="B29" s="36">
        <f t="shared" si="1"/>
        <v>3.0233087999999995E-2</v>
      </c>
      <c r="C29" s="37">
        <f t="shared" si="1"/>
        <v>3.0233087999999995E-2</v>
      </c>
      <c r="D29" s="37">
        <f t="shared" si="1"/>
        <v>3.0233087999999995E-2</v>
      </c>
      <c r="E29" s="37">
        <f t="shared" si="1"/>
        <v>3.0233087999999995E-2</v>
      </c>
      <c r="F29" s="38">
        <f t="shared" si="1"/>
        <v>3.0233087999999995E-2</v>
      </c>
    </row>
    <row r="30" spans="2:6" x14ac:dyDescent="0.15">
      <c r="E30" s="26" t="s">
        <v>12</v>
      </c>
      <c r="F30" s="46">
        <f>SUM(B25:F29)</f>
        <v>0.45349632000000006</v>
      </c>
    </row>
  </sheetData>
  <conditionalFormatting sqref="B9:F13">
    <cfRule type="cellIs" dxfId="1" priority="1" stopIfTrue="1" operator="equal">
      <formula>1</formula>
    </cfRule>
    <cfRule type="cellIs" dxfId="0" priority="2" stopIfTrue="1" operator="equal">
      <formula>2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Reserve</vt:lpstr>
      <vt:lpstr>patch size and spat. config.</vt:lpstr>
    </vt:vector>
  </TitlesOfParts>
  <Company>SUNY-ESF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dcterms:created xsi:type="dcterms:W3CDTF">1999-10-02T14:13:59Z</dcterms:created>
  <dcterms:modified xsi:type="dcterms:W3CDTF">2020-06-26T15:04:10Z</dcterms:modified>
</cp:coreProperties>
</file>