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ate1904="1" showInkAnnotation="0" codeName="ThisWorkbook" autoCompressPictures="0"/>
  <mc:AlternateContent xmlns:mc="http://schemas.openxmlformats.org/markup-compatibility/2006">
    <mc:Choice Requires="x15">
      <x15ac:absPath xmlns:x15ac="http://schemas.microsoft.com/office/spreadsheetml/2010/11/ac" url="C:\Users\achambe4\Downloads\"/>
    </mc:Choice>
  </mc:AlternateContent>
  <xr:revisionPtr revIDLastSave="0" documentId="8_{BA8972E5-6B8C-465E-9414-716BD8EC906F}" xr6:coauthVersionLast="47" xr6:coauthVersionMax="47" xr10:uidLastSave="{00000000-0000-0000-0000-000000000000}"/>
  <bookViews>
    <workbookView xWindow="-93" yWindow="-93" windowWidth="25786" windowHeight="13866" tabRatio="820" firstSheet="1" activeTab="1" xr2:uid="{00000000-000D-0000-FFFF-FFFF00000000}"/>
  </bookViews>
  <sheets>
    <sheet name="STEP 1--Field Information" sheetId="16" r:id="rId1"/>
    <sheet name="STEP 2--Soil Test Information" sheetId="42" r:id="rId2"/>
    <sheet name="Veg rec lookup" sheetId="43" state="hidden" r:id="rId3"/>
    <sheet name="STEP 3--Nutrient Needs" sheetId="7" r:id="rId4"/>
    <sheet name="Crop look up" sheetId="41" state="hidden" r:id="rId5"/>
    <sheet name="STEP 4--Choose N" sheetId="26" r:id="rId6"/>
    <sheet name="N lookup" sheetId="32" state="hidden" r:id="rId7"/>
    <sheet name="STEP 5--Choose P" sheetId="27" r:id="rId8"/>
    <sheet name="P lookup" sheetId="34" state="hidden" r:id="rId9"/>
    <sheet name="STEP 6--Choose K" sheetId="35" r:id="rId10"/>
    <sheet name="K lookup" sheetId="29" state="hidden" r:id="rId11"/>
    <sheet name="STEP 7--Fertilizer Costs" sheetId="21" r:id="rId12"/>
    <sheet name="Calcium" sheetId="45" state="hidden" r:id="rId13"/>
    <sheet name="Magnesium" sheetId="46" state="hidden" r:id="rId14"/>
    <sheet name="Sulfur" sheetId="47" state="hidden" r:id="rId15"/>
    <sheet name="Trace Element " sheetId="48" state="hidden" r:id="rId16"/>
    <sheet name="STEP 8--Amendment Plan" sheetId="52" r:id="rId17"/>
    <sheet name="Appendix--Fertilizer Costs" sheetId="51" r:id="rId18"/>
    <sheet name="Cost per pound of Nutrients" sheetId="38" state="hidden" r:id="rId19"/>
  </sheets>
  <externalReferences>
    <externalReference r:id="rId20"/>
  </externalReferences>
  <definedNames>
    <definedName name="ActiveLIne" localSheetId="17">'[1]Farm Fertility Plan'!$B$3:$U$3</definedName>
    <definedName name="ActiveLIne">'STEP 8--Amendment Plan'!$B$4:$S$4</definedName>
    <definedName name="ActiveLineLeft" localSheetId="17">'[1]Farm Fertility Plan'!$A$3</definedName>
    <definedName name="ActiveLineLeft">'STEP 8--Amendment Plan'!$A$4</definedName>
    <definedName name="_xlnm.Print_Titles" localSheetId="17">'Appendix--Fertilizer Costs'!$1:$1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51" l="1"/>
  <c r="K50" i="51"/>
  <c r="J50" i="51"/>
  <c r="J49" i="51"/>
  <c r="L48" i="51"/>
  <c r="K48" i="51"/>
  <c r="J48" i="51"/>
  <c r="L47" i="51"/>
  <c r="J47" i="51"/>
  <c r="L46" i="51"/>
  <c r="K46" i="51"/>
  <c r="J46" i="51"/>
  <c r="I45" i="51"/>
  <c r="L45" i="51" s="1"/>
  <c r="I42" i="51"/>
  <c r="J42" i="51" s="1"/>
  <c r="I41" i="51"/>
  <c r="K41" i="51" s="1"/>
  <c r="L39" i="51"/>
  <c r="L38" i="51"/>
  <c r="K38" i="51"/>
  <c r="J38" i="51"/>
  <c r="L37" i="51"/>
  <c r="K37" i="51"/>
  <c r="J37" i="51"/>
  <c r="K35" i="51"/>
  <c r="I33" i="51"/>
  <c r="L33" i="51" s="1"/>
  <c r="L32" i="51"/>
  <c r="K32" i="51"/>
  <c r="J32" i="51"/>
  <c r="J30" i="51"/>
  <c r="I29" i="51"/>
  <c r="J29" i="51" s="1"/>
  <c r="J28" i="51"/>
  <c r="L24" i="51"/>
  <c r="L22" i="51"/>
  <c r="L21" i="51"/>
  <c r="L20" i="51"/>
  <c r="K20" i="51"/>
  <c r="J20" i="51"/>
  <c r="I19" i="51"/>
  <c r="L19" i="51" s="1"/>
  <c r="K18" i="51"/>
  <c r="J18" i="51"/>
  <c r="J16" i="51"/>
  <c r="K13" i="51"/>
  <c r="I13" i="51"/>
  <c r="L12" i="51"/>
  <c r="K12" i="51"/>
  <c r="J12" i="51"/>
  <c r="J11" i="51"/>
  <c r="L10" i="51"/>
  <c r="K10" i="51"/>
  <c r="J10" i="51"/>
  <c r="L9" i="51"/>
  <c r="K9" i="51"/>
  <c r="J9" i="51"/>
  <c r="J8" i="51"/>
  <c r="K6" i="51"/>
  <c r="K5" i="51"/>
  <c r="J5" i="51"/>
  <c r="J4" i="51"/>
  <c r="I3" i="51"/>
  <c r="L2" i="51"/>
  <c r="K2" i="51"/>
  <c r="J2" i="51"/>
  <c r="J19" i="51" l="1"/>
  <c r="K19" i="51"/>
  <c r="J45" i="51"/>
  <c r="K45" i="51"/>
  <c r="B4" i="52" l="1"/>
  <c r="D4" i="52"/>
  <c r="E4" i="52"/>
  <c r="F4" i="52"/>
  <c r="H4" i="52"/>
  <c r="K4" i="52"/>
  <c r="N4" i="52"/>
  <c r="B4" i="7"/>
  <c r="D4" i="7" s="1"/>
  <c r="B3" i="7"/>
  <c r="C3" i="7" s="1"/>
  <c r="B5" i="7"/>
  <c r="E11" i="41"/>
  <c r="E8" i="41"/>
  <c r="E7" i="41"/>
  <c r="I15" i="32" l="1"/>
  <c r="E14" i="27" l="1"/>
  <c r="D14" i="27"/>
  <c r="C14" i="27"/>
  <c r="B14" i="27"/>
  <c r="I14" i="27"/>
  <c r="H14" i="27"/>
  <c r="G14" i="27"/>
  <c r="F14" i="27"/>
  <c r="A14" i="27"/>
  <c r="I20" i="26"/>
  <c r="B19" i="26"/>
  <c r="C19" i="26"/>
  <c r="D19" i="26"/>
  <c r="E19" i="26"/>
  <c r="F19" i="26"/>
  <c r="G19" i="26"/>
  <c r="H19" i="26"/>
  <c r="I19" i="26"/>
  <c r="J19" i="26"/>
  <c r="A19" i="26"/>
  <c r="J14" i="32"/>
  <c r="A15" i="32"/>
  <c r="A20" i="26" s="1"/>
  <c r="B15" i="32"/>
  <c r="B20" i="26" s="1"/>
  <c r="C15" i="32"/>
  <c r="C20" i="26" s="1"/>
  <c r="D15" i="32"/>
  <c r="D20" i="26" s="1"/>
  <c r="E15" i="32"/>
  <c r="E20" i="26" s="1"/>
  <c r="F15" i="32"/>
  <c r="F20" i="26" s="1"/>
  <c r="G15" i="32"/>
  <c r="G20" i="26" s="1"/>
  <c r="H15" i="32"/>
  <c r="H20" i="26" s="1"/>
  <c r="A16" i="32"/>
  <c r="B16" i="32"/>
  <c r="C16" i="32"/>
  <c r="D16" i="32"/>
  <c r="E16" i="32"/>
  <c r="F16" i="32"/>
  <c r="G16" i="32"/>
  <c r="H16" i="32"/>
  <c r="I16" i="32"/>
  <c r="A17" i="32"/>
  <c r="B17" i="32"/>
  <c r="C17" i="32"/>
  <c r="D17" i="32"/>
  <c r="E17" i="32"/>
  <c r="F17" i="32"/>
  <c r="G17" i="32"/>
  <c r="H17" i="32"/>
  <c r="I17" i="32"/>
  <c r="A18" i="32"/>
  <c r="B18" i="32"/>
  <c r="C18" i="32"/>
  <c r="D18" i="32"/>
  <c r="E18" i="32"/>
  <c r="F18" i="32"/>
  <c r="G18" i="32"/>
  <c r="H18" i="32"/>
  <c r="I18" i="32"/>
  <c r="A19" i="32"/>
  <c r="B19" i="32"/>
  <c r="C19" i="32"/>
  <c r="D19" i="32"/>
  <c r="E19" i="32"/>
  <c r="F19" i="32"/>
  <c r="G19" i="32"/>
  <c r="H19" i="32"/>
  <c r="I19" i="32"/>
  <c r="A20" i="32"/>
  <c r="B20" i="32"/>
  <c r="C20" i="32"/>
  <c r="D20" i="32"/>
  <c r="E20" i="32"/>
  <c r="F20" i="32"/>
  <c r="G20" i="32"/>
  <c r="H20" i="32"/>
  <c r="I20" i="32"/>
  <c r="A21" i="32"/>
  <c r="B21" i="32"/>
  <c r="C21" i="32"/>
  <c r="D21" i="32"/>
  <c r="E21" i="32"/>
  <c r="F21" i="32"/>
  <c r="G21" i="32"/>
  <c r="H21" i="32"/>
  <c r="I21" i="32"/>
  <c r="A22" i="32"/>
  <c r="B22" i="32"/>
  <c r="C22" i="32"/>
  <c r="D22" i="32"/>
  <c r="E22" i="32"/>
  <c r="F22" i="32"/>
  <c r="G22" i="32"/>
  <c r="H22" i="32"/>
  <c r="I22" i="32"/>
  <c r="A23" i="32"/>
  <c r="B23" i="32"/>
  <c r="C23" i="32"/>
  <c r="D23" i="32"/>
  <c r="E23" i="32"/>
  <c r="F23" i="32"/>
  <c r="G23" i="32"/>
  <c r="H23" i="32"/>
  <c r="I23" i="32"/>
  <c r="J14" i="27"/>
  <c r="J15" i="32"/>
  <c r="J20" i="26" s="1"/>
  <c r="B3" i="42" l="1"/>
  <c r="E9" i="7" l="1"/>
  <c r="D9" i="7"/>
  <c r="C9" i="7"/>
  <c r="C10" i="7"/>
  <c r="F20" i="16" l="1"/>
  <c r="P17" i="34" l="1"/>
  <c r="P10" i="34"/>
  <c r="L10" i="34"/>
  <c r="I17" i="29" l="1"/>
  <c r="J23" i="27"/>
  <c r="I26" i="32"/>
  <c r="J32" i="26"/>
  <c r="J26" i="32" s="1"/>
  <c r="J22" i="35"/>
  <c r="J17" i="29" s="1"/>
  <c r="B16" i="29"/>
  <c r="C16" i="29"/>
  <c r="D16" i="29"/>
  <c r="E16" i="29"/>
  <c r="F16" i="29"/>
  <c r="G16" i="29"/>
  <c r="H16" i="29"/>
  <c r="I16" i="29"/>
  <c r="J16" i="29"/>
  <c r="A16" i="29"/>
  <c r="B17" i="29"/>
  <c r="C17" i="29"/>
  <c r="D17" i="29"/>
  <c r="E17" i="29"/>
  <c r="F17" i="29"/>
  <c r="G17" i="29"/>
  <c r="H17" i="29"/>
  <c r="B7" i="35"/>
  <c r="B2" i="29" s="1"/>
  <c r="C7" i="35"/>
  <c r="C2" i="29" s="1"/>
  <c r="D7" i="35"/>
  <c r="D2" i="29" s="1"/>
  <c r="E7" i="35"/>
  <c r="E2" i="29" s="1"/>
  <c r="F7" i="35"/>
  <c r="F2" i="29" s="1"/>
  <c r="G7" i="35"/>
  <c r="G2" i="29" s="1"/>
  <c r="H7" i="35"/>
  <c r="H2" i="29" s="1"/>
  <c r="I7" i="35"/>
  <c r="I2" i="29" s="1"/>
  <c r="B8" i="35"/>
  <c r="B3" i="29" s="1"/>
  <c r="C8" i="35"/>
  <c r="C3" i="29" s="1"/>
  <c r="D8" i="35"/>
  <c r="D3" i="29" s="1"/>
  <c r="E8" i="35"/>
  <c r="E3" i="29" s="1"/>
  <c r="F8" i="35"/>
  <c r="F3" i="29" s="1"/>
  <c r="G8" i="35"/>
  <c r="G3" i="29" s="1"/>
  <c r="H8" i="35"/>
  <c r="H3" i="29" s="1"/>
  <c r="I8" i="35"/>
  <c r="I3" i="29" s="1"/>
  <c r="B9" i="35"/>
  <c r="B4" i="29" s="1"/>
  <c r="C9" i="35"/>
  <c r="C4" i="29" s="1"/>
  <c r="D9" i="35"/>
  <c r="D4" i="29" s="1"/>
  <c r="E9" i="35"/>
  <c r="E4" i="29" s="1"/>
  <c r="F9" i="35"/>
  <c r="F4" i="29" s="1"/>
  <c r="G9" i="35"/>
  <c r="G4" i="29" s="1"/>
  <c r="H9" i="35"/>
  <c r="H4" i="29" s="1"/>
  <c r="I9" i="35"/>
  <c r="I4" i="29" s="1"/>
  <c r="B10" i="35"/>
  <c r="B5" i="29" s="1"/>
  <c r="C10" i="35"/>
  <c r="C5" i="29" s="1"/>
  <c r="D10" i="35"/>
  <c r="D5" i="29" s="1"/>
  <c r="E10" i="35"/>
  <c r="E5" i="29" s="1"/>
  <c r="F10" i="35"/>
  <c r="F5" i="29" s="1"/>
  <c r="G10" i="35"/>
  <c r="G5" i="29" s="1"/>
  <c r="H10" i="35"/>
  <c r="H5" i="29" s="1"/>
  <c r="I10" i="35"/>
  <c r="I5" i="29" s="1"/>
  <c r="B11" i="35"/>
  <c r="B6" i="29" s="1"/>
  <c r="C11" i="35"/>
  <c r="C6" i="29" s="1"/>
  <c r="D11" i="35"/>
  <c r="D6" i="29" s="1"/>
  <c r="E11" i="35"/>
  <c r="E6" i="29" s="1"/>
  <c r="F11" i="35"/>
  <c r="F6" i="29" s="1"/>
  <c r="G11" i="35"/>
  <c r="G6" i="29" s="1"/>
  <c r="H11" i="35"/>
  <c r="H6" i="29" s="1"/>
  <c r="I11" i="35"/>
  <c r="I6" i="29" s="1"/>
  <c r="B12" i="35"/>
  <c r="B7" i="29" s="1"/>
  <c r="C12" i="35"/>
  <c r="C7" i="29" s="1"/>
  <c r="D12" i="35"/>
  <c r="D7" i="29" s="1"/>
  <c r="E12" i="35"/>
  <c r="E7" i="29" s="1"/>
  <c r="F12" i="35"/>
  <c r="F7" i="29" s="1"/>
  <c r="G12" i="35"/>
  <c r="G7" i="29" s="1"/>
  <c r="H12" i="35"/>
  <c r="H7" i="29" s="1"/>
  <c r="I12" i="35"/>
  <c r="I7" i="29" s="1"/>
  <c r="B13" i="35"/>
  <c r="B8" i="29" s="1"/>
  <c r="C13" i="35"/>
  <c r="C8" i="29" s="1"/>
  <c r="D13" i="35"/>
  <c r="D8" i="29" s="1"/>
  <c r="E13" i="35"/>
  <c r="E8" i="29" s="1"/>
  <c r="F13" i="35"/>
  <c r="F8" i="29" s="1"/>
  <c r="G13" i="35"/>
  <c r="G8" i="29" s="1"/>
  <c r="H13" i="35"/>
  <c r="H8" i="29" s="1"/>
  <c r="B14" i="35"/>
  <c r="B9" i="29" s="1"/>
  <c r="C14" i="35"/>
  <c r="C9" i="29" s="1"/>
  <c r="D14" i="35"/>
  <c r="D9" i="29" s="1"/>
  <c r="E14" i="35"/>
  <c r="E9" i="29" s="1"/>
  <c r="F14" i="35"/>
  <c r="F9" i="29" s="1"/>
  <c r="G14" i="35"/>
  <c r="G9" i="29" s="1"/>
  <c r="H14" i="35"/>
  <c r="H9" i="29" s="1"/>
  <c r="I14" i="35"/>
  <c r="I9" i="29" s="1"/>
  <c r="B16" i="35"/>
  <c r="B11" i="29" s="1"/>
  <c r="C16" i="35"/>
  <c r="C11" i="29" s="1"/>
  <c r="D16" i="35"/>
  <c r="D11" i="29" s="1"/>
  <c r="E16" i="35"/>
  <c r="E11" i="29" s="1"/>
  <c r="F16" i="35"/>
  <c r="F11" i="29" s="1"/>
  <c r="G16" i="35"/>
  <c r="G11" i="29" s="1"/>
  <c r="H16" i="35"/>
  <c r="H11" i="29" s="1"/>
  <c r="I16" i="35"/>
  <c r="I11" i="29" s="1"/>
  <c r="B17" i="35"/>
  <c r="B12" i="29" s="1"/>
  <c r="C17" i="35"/>
  <c r="C12" i="29" s="1"/>
  <c r="D17" i="35"/>
  <c r="D12" i="29" s="1"/>
  <c r="E17" i="35"/>
  <c r="E12" i="29" s="1"/>
  <c r="F17" i="35"/>
  <c r="F12" i="29" s="1"/>
  <c r="G17" i="35"/>
  <c r="G12" i="29" s="1"/>
  <c r="H17" i="35"/>
  <c r="H12" i="29" s="1"/>
  <c r="I17" i="35"/>
  <c r="I12" i="29" s="1"/>
  <c r="B18" i="35"/>
  <c r="B13" i="29" s="1"/>
  <c r="C18" i="35"/>
  <c r="C13" i="29" s="1"/>
  <c r="D18" i="35"/>
  <c r="D13" i="29" s="1"/>
  <c r="E18" i="35"/>
  <c r="E13" i="29" s="1"/>
  <c r="F18" i="35"/>
  <c r="F13" i="29" s="1"/>
  <c r="G18" i="35"/>
  <c r="G13" i="29" s="1"/>
  <c r="H18" i="35"/>
  <c r="H13" i="29" s="1"/>
  <c r="I18" i="35"/>
  <c r="I13" i="29" s="1"/>
  <c r="B19" i="35"/>
  <c r="B14" i="29" s="1"/>
  <c r="C19" i="35"/>
  <c r="C14" i="29" s="1"/>
  <c r="D19" i="35"/>
  <c r="D14" i="29" s="1"/>
  <c r="E19" i="35"/>
  <c r="E14" i="29" s="1"/>
  <c r="F19" i="35"/>
  <c r="F14" i="29" s="1"/>
  <c r="G19" i="35"/>
  <c r="G14" i="29" s="1"/>
  <c r="H19" i="35"/>
  <c r="H14" i="29" s="1"/>
  <c r="I19" i="35"/>
  <c r="I14" i="29" s="1"/>
  <c r="B20" i="35"/>
  <c r="B15" i="29" s="1"/>
  <c r="C20" i="35"/>
  <c r="C15" i="29" s="1"/>
  <c r="D20" i="35"/>
  <c r="D15" i="29" s="1"/>
  <c r="E20" i="35"/>
  <c r="E15" i="29" s="1"/>
  <c r="F20" i="35"/>
  <c r="F15" i="29" s="1"/>
  <c r="G20" i="35"/>
  <c r="G15" i="29" s="1"/>
  <c r="H20" i="35"/>
  <c r="H15" i="29" s="1"/>
  <c r="I20" i="35"/>
  <c r="I15" i="29" s="1"/>
  <c r="B6" i="35"/>
  <c r="B1" i="29" s="1"/>
  <c r="C6" i="35"/>
  <c r="C1" i="29" s="1"/>
  <c r="D6" i="35"/>
  <c r="D1" i="29" s="1"/>
  <c r="E6" i="35"/>
  <c r="E1" i="29" s="1"/>
  <c r="F6" i="35"/>
  <c r="F1" i="29" s="1"/>
  <c r="G6" i="35"/>
  <c r="G1" i="29" s="1"/>
  <c r="H6" i="35"/>
  <c r="H1" i="29" s="1"/>
  <c r="I6" i="35"/>
  <c r="I1" i="29" s="1"/>
  <c r="J6" i="35"/>
  <c r="J1" i="29" s="1"/>
  <c r="A9" i="35"/>
  <c r="A4" i="29" s="1"/>
  <c r="A10" i="35"/>
  <c r="A5" i="29" s="1"/>
  <c r="A20" i="35"/>
  <c r="A15" i="29" s="1"/>
  <c r="A11" i="35"/>
  <c r="A6" i="29" s="1"/>
  <c r="A12" i="35"/>
  <c r="A7" i="29" s="1"/>
  <c r="A13" i="35"/>
  <c r="A8" i="29" s="1"/>
  <c r="A14" i="35"/>
  <c r="A9" i="29" s="1"/>
  <c r="A15" i="35"/>
  <c r="A10" i="29" s="1"/>
  <c r="A16" i="35"/>
  <c r="A11" i="29" s="1"/>
  <c r="A17" i="35"/>
  <c r="A12" i="29" s="1"/>
  <c r="A18" i="35"/>
  <c r="A13" i="29" s="1"/>
  <c r="A19" i="35"/>
  <c r="A14" i="29" s="1"/>
  <c r="A7" i="35"/>
  <c r="A2" i="29" s="1"/>
  <c r="A8" i="35"/>
  <c r="A3" i="29" s="1"/>
  <c r="A6" i="35"/>
  <c r="A1" i="29" s="1"/>
  <c r="B15" i="34"/>
  <c r="C15" i="34"/>
  <c r="D15" i="34"/>
  <c r="L15" i="34" s="1"/>
  <c r="E15" i="34"/>
  <c r="F15" i="34"/>
  <c r="G15" i="34"/>
  <c r="H15" i="34"/>
  <c r="I15" i="34"/>
  <c r="P15" i="34" s="1"/>
  <c r="J15" i="34"/>
  <c r="B16" i="34"/>
  <c r="C16" i="34"/>
  <c r="D16" i="34"/>
  <c r="E16" i="34"/>
  <c r="F16" i="34"/>
  <c r="G16" i="34"/>
  <c r="H16" i="34"/>
  <c r="I16" i="34"/>
  <c r="J16" i="34"/>
  <c r="A16" i="34"/>
  <c r="A15" i="34"/>
  <c r="J25" i="32"/>
  <c r="B25" i="32"/>
  <c r="C25" i="32"/>
  <c r="D25" i="32"/>
  <c r="E25" i="32"/>
  <c r="F25" i="32"/>
  <c r="G25" i="32"/>
  <c r="H25" i="32"/>
  <c r="I25" i="32"/>
  <c r="K25" i="32"/>
  <c r="A25" i="32"/>
  <c r="J9" i="27"/>
  <c r="B20" i="27"/>
  <c r="B13" i="34" s="1"/>
  <c r="C20" i="27"/>
  <c r="C13" i="34" s="1"/>
  <c r="D20" i="27"/>
  <c r="D13" i="34" s="1"/>
  <c r="E20" i="27"/>
  <c r="E13" i="34" s="1"/>
  <c r="F20" i="27"/>
  <c r="F13" i="34" s="1"/>
  <c r="G20" i="27"/>
  <c r="G13" i="34" s="1"/>
  <c r="H20" i="27"/>
  <c r="H13" i="34" s="1"/>
  <c r="I20" i="27"/>
  <c r="I13" i="34" s="1"/>
  <c r="B21" i="27"/>
  <c r="B14" i="34" s="1"/>
  <c r="C21" i="27"/>
  <c r="C14" i="34" s="1"/>
  <c r="D21" i="27"/>
  <c r="D14" i="34" s="1"/>
  <c r="E21" i="27"/>
  <c r="E14" i="34" s="1"/>
  <c r="F21" i="27"/>
  <c r="F14" i="34" s="1"/>
  <c r="G21" i="27"/>
  <c r="G14" i="34" s="1"/>
  <c r="H21" i="27"/>
  <c r="H14" i="34" s="1"/>
  <c r="I21" i="27"/>
  <c r="I14" i="34" s="1"/>
  <c r="B8" i="27"/>
  <c r="C8" i="27"/>
  <c r="D8" i="27"/>
  <c r="E8" i="27"/>
  <c r="F8" i="27"/>
  <c r="G8" i="27"/>
  <c r="H8" i="27"/>
  <c r="I8" i="27"/>
  <c r="I2" i="34" s="1"/>
  <c r="B9" i="27"/>
  <c r="C9" i="27"/>
  <c r="D9" i="27"/>
  <c r="E9" i="27"/>
  <c r="F9" i="27"/>
  <c r="G9" i="27"/>
  <c r="H9" i="27"/>
  <c r="I9" i="27"/>
  <c r="I3" i="34" s="1"/>
  <c r="B10" i="27"/>
  <c r="B4" i="34" s="1"/>
  <c r="C10" i="27"/>
  <c r="C4" i="34" s="1"/>
  <c r="D10" i="27"/>
  <c r="D4" i="34" s="1"/>
  <c r="E10" i="27"/>
  <c r="E4" i="34" s="1"/>
  <c r="F10" i="27"/>
  <c r="F4" i="34" s="1"/>
  <c r="G10" i="27"/>
  <c r="G4" i="34" s="1"/>
  <c r="H10" i="27"/>
  <c r="H4" i="34" s="1"/>
  <c r="I10" i="27"/>
  <c r="I4" i="34" s="1"/>
  <c r="B11" i="27"/>
  <c r="B5" i="34" s="1"/>
  <c r="C11" i="27"/>
  <c r="C5" i="34" s="1"/>
  <c r="D11" i="27"/>
  <c r="D5" i="34" s="1"/>
  <c r="E11" i="27"/>
  <c r="E5" i="34" s="1"/>
  <c r="F11" i="27"/>
  <c r="F5" i="34" s="1"/>
  <c r="G11" i="27"/>
  <c r="G5" i="34" s="1"/>
  <c r="H11" i="27"/>
  <c r="H5" i="34" s="1"/>
  <c r="I11" i="27"/>
  <c r="I5" i="34" s="1"/>
  <c r="B12" i="27"/>
  <c r="B6" i="34" s="1"/>
  <c r="C12" i="27"/>
  <c r="C6" i="34" s="1"/>
  <c r="D12" i="27"/>
  <c r="D6" i="34" s="1"/>
  <c r="E12" i="27"/>
  <c r="E6" i="34" s="1"/>
  <c r="F12" i="27"/>
  <c r="F6" i="34" s="1"/>
  <c r="G12" i="27"/>
  <c r="G6" i="34" s="1"/>
  <c r="H12" i="27"/>
  <c r="H6" i="34" s="1"/>
  <c r="B13" i="27"/>
  <c r="B7" i="34" s="1"/>
  <c r="C13" i="27"/>
  <c r="C7" i="34" s="1"/>
  <c r="D13" i="27"/>
  <c r="D7" i="34" s="1"/>
  <c r="E13" i="27"/>
  <c r="E7" i="34" s="1"/>
  <c r="F13" i="27"/>
  <c r="F7" i="34" s="1"/>
  <c r="G13" i="27"/>
  <c r="G7" i="34" s="1"/>
  <c r="H13" i="27"/>
  <c r="H7" i="34" s="1"/>
  <c r="I13" i="27"/>
  <c r="I7" i="34" s="1"/>
  <c r="B15" i="27"/>
  <c r="B8" i="34" s="1"/>
  <c r="C15" i="27"/>
  <c r="C8" i="34" s="1"/>
  <c r="D15" i="27"/>
  <c r="D8" i="34" s="1"/>
  <c r="E15" i="27"/>
  <c r="E8" i="34" s="1"/>
  <c r="F15" i="27"/>
  <c r="F8" i="34" s="1"/>
  <c r="G15" i="27"/>
  <c r="G8" i="34" s="1"/>
  <c r="H15" i="27"/>
  <c r="H8" i="34" s="1"/>
  <c r="I15" i="27"/>
  <c r="I8" i="34" s="1"/>
  <c r="B16" i="27"/>
  <c r="B9" i="34" s="1"/>
  <c r="C16" i="27"/>
  <c r="C9" i="34" s="1"/>
  <c r="D16" i="27"/>
  <c r="D9" i="34" s="1"/>
  <c r="E16" i="27"/>
  <c r="E9" i="34" s="1"/>
  <c r="F16" i="27"/>
  <c r="F9" i="34" s="1"/>
  <c r="G16" i="27"/>
  <c r="G9" i="34" s="1"/>
  <c r="H16" i="27"/>
  <c r="H9" i="34" s="1"/>
  <c r="I16" i="27"/>
  <c r="I9" i="34" s="1"/>
  <c r="B18" i="27"/>
  <c r="B11" i="34" s="1"/>
  <c r="C18" i="27"/>
  <c r="C11" i="34" s="1"/>
  <c r="D18" i="27"/>
  <c r="D11" i="34" s="1"/>
  <c r="E18" i="27"/>
  <c r="E11" i="34" s="1"/>
  <c r="F18" i="27"/>
  <c r="F11" i="34" s="1"/>
  <c r="G18" i="27"/>
  <c r="G11" i="34" s="1"/>
  <c r="H18" i="27"/>
  <c r="H11" i="34" s="1"/>
  <c r="I18" i="27"/>
  <c r="I11" i="34" s="1"/>
  <c r="B19" i="27"/>
  <c r="B12" i="34" s="1"/>
  <c r="C19" i="27"/>
  <c r="C12" i="34" s="1"/>
  <c r="D19" i="27"/>
  <c r="D12" i="34" s="1"/>
  <c r="E19" i="27"/>
  <c r="E12" i="34" s="1"/>
  <c r="F19" i="27"/>
  <c r="F12" i="34" s="1"/>
  <c r="G19" i="27"/>
  <c r="G12" i="34" s="1"/>
  <c r="H19" i="27"/>
  <c r="H12" i="34" s="1"/>
  <c r="I19" i="27"/>
  <c r="I12" i="34" s="1"/>
  <c r="J7" i="27"/>
  <c r="J1" i="34" s="1"/>
  <c r="A15" i="27"/>
  <c r="A8" i="34" s="1"/>
  <c r="A16" i="27"/>
  <c r="A9" i="34" s="1"/>
  <c r="A17" i="27"/>
  <c r="A10" i="34" s="1"/>
  <c r="A18" i="27"/>
  <c r="A11" i="34" s="1"/>
  <c r="A19" i="27"/>
  <c r="A12" i="34" s="1"/>
  <c r="A20" i="27"/>
  <c r="A13" i="34" s="1"/>
  <c r="A21" i="27"/>
  <c r="A14" i="34" s="1"/>
  <c r="A8" i="27"/>
  <c r="A2" i="34" s="1"/>
  <c r="A9" i="27"/>
  <c r="A3" i="34" s="1"/>
  <c r="A10" i="27"/>
  <c r="A4" i="34" s="1"/>
  <c r="A11" i="27"/>
  <c r="A5" i="34" s="1"/>
  <c r="A12" i="27"/>
  <c r="A6" i="34" s="1"/>
  <c r="A13" i="27"/>
  <c r="A7" i="34" s="1"/>
  <c r="B7" i="27"/>
  <c r="B1" i="34" s="1"/>
  <c r="C7" i="27"/>
  <c r="C1" i="34" s="1"/>
  <c r="D7" i="27"/>
  <c r="D1" i="34" s="1"/>
  <c r="E7" i="27"/>
  <c r="E1" i="34" s="1"/>
  <c r="F7" i="27"/>
  <c r="F1" i="34" s="1"/>
  <c r="G7" i="27"/>
  <c r="G1" i="34" s="1"/>
  <c r="H7" i="27"/>
  <c r="H1" i="34" s="1"/>
  <c r="I7" i="27"/>
  <c r="I1" i="34" s="1"/>
  <c r="A7" i="27"/>
  <c r="A1" i="34" s="1"/>
  <c r="B26" i="32"/>
  <c r="C26" i="32"/>
  <c r="D26" i="32"/>
  <c r="E26" i="32"/>
  <c r="F26" i="32"/>
  <c r="G26" i="32"/>
  <c r="H26" i="32"/>
  <c r="A26" i="32"/>
  <c r="D5" i="21" l="1"/>
  <c r="O16" i="29"/>
  <c r="B6" i="26"/>
  <c r="C6" i="26"/>
  <c r="D6" i="26"/>
  <c r="E6" i="26"/>
  <c r="F6" i="26"/>
  <c r="G6" i="26"/>
  <c r="H6" i="26"/>
  <c r="I6" i="26"/>
  <c r="J6" i="26"/>
  <c r="B6" i="32"/>
  <c r="B11" i="26" s="1"/>
  <c r="C6" i="32"/>
  <c r="C11" i="26" s="1"/>
  <c r="D6" i="32"/>
  <c r="D11" i="26" s="1"/>
  <c r="E6" i="32"/>
  <c r="E11" i="26" s="1"/>
  <c r="F6" i="32"/>
  <c r="F11" i="26" s="1"/>
  <c r="G6" i="32"/>
  <c r="G11" i="26" s="1"/>
  <c r="H6" i="32"/>
  <c r="H11" i="26" s="1"/>
  <c r="I6" i="32"/>
  <c r="I11" i="26" s="1"/>
  <c r="B7" i="32"/>
  <c r="B12" i="26" s="1"/>
  <c r="C7" i="32"/>
  <c r="C12" i="26" s="1"/>
  <c r="D7" i="32"/>
  <c r="D12" i="26" s="1"/>
  <c r="E7" i="32"/>
  <c r="E12" i="26" s="1"/>
  <c r="F7" i="32"/>
  <c r="F12" i="26" s="1"/>
  <c r="G7" i="32"/>
  <c r="G12" i="26" s="1"/>
  <c r="H7" i="32"/>
  <c r="H12" i="26" s="1"/>
  <c r="I7" i="32"/>
  <c r="I12" i="26" s="1"/>
  <c r="B8" i="32"/>
  <c r="B13" i="26" s="1"/>
  <c r="C8" i="32"/>
  <c r="C13" i="26" s="1"/>
  <c r="D8" i="32"/>
  <c r="D13" i="26" s="1"/>
  <c r="E8" i="32"/>
  <c r="E13" i="26" s="1"/>
  <c r="F8" i="32"/>
  <c r="F13" i="26" s="1"/>
  <c r="G8" i="32"/>
  <c r="G13" i="26" s="1"/>
  <c r="H8" i="32"/>
  <c r="H13" i="26" s="1"/>
  <c r="I8" i="32"/>
  <c r="I13" i="26" s="1"/>
  <c r="B9" i="32"/>
  <c r="C9" i="32"/>
  <c r="C14" i="26" s="1"/>
  <c r="D9" i="32"/>
  <c r="D14" i="26" s="1"/>
  <c r="E9" i="32"/>
  <c r="E14" i="26" s="1"/>
  <c r="F9" i="32"/>
  <c r="F14" i="26" s="1"/>
  <c r="G9" i="32"/>
  <c r="G14" i="26" s="1"/>
  <c r="H9" i="32"/>
  <c r="H14" i="26" s="1"/>
  <c r="I9" i="32"/>
  <c r="I14" i="26" s="1"/>
  <c r="B10" i="32"/>
  <c r="B15" i="26" s="1"/>
  <c r="C10" i="32"/>
  <c r="C15" i="26" s="1"/>
  <c r="D10" i="32"/>
  <c r="D15" i="26" s="1"/>
  <c r="E10" i="32"/>
  <c r="E15" i="26" s="1"/>
  <c r="F10" i="32"/>
  <c r="F15" i="26" s="1"/>
  <c r="G10" i="32"/>
  <c r="G15" i="26" s="1"/>
  <c r="H10" i="32"/>
  <c r="H15" i="26" s="1"/>
  <c r="I10" i="32"/>
  <c r="I15" i="26" s="1"/>
  <c r="B11" i="32"/>
  <c r="B16" i="26" s="1"/>
  <c r="C11" i="32"/>
  <c r="C16" i="26" s="1"/>
  <c r="D11" i="32"/>
  <c r="D16" i="26" s="1"/>
  <c r="E11" i="32"/>
  <c r="E16" i="26" s="1"/>
  <c r="F11" i="32"/>
  <c r="F16" i="26" s="1"/>
  <c r="G11" i="32"/>
  <c r="G16" i="26" s="1"/>
  <c r="H11" i="32"/>
  <c r="H16" i="26" s="1"/>
  <c r="I11" i="32"/>
  <c r="I16" i="26" s="1"/>
  <c r="B12" i="32"/>
  <c r="B17" i="26" s="1"/>
  <c r="C12" i="32"/>
  <c r="C17" i="26" s="1"/>
  <c r="D12" i="32"/>
  <c r="D17" i="26" s="1"/>
  <c r="E12" i="32"/>
  <c r="E17" i="26" s="1"/>
  <c r="F12" i="32"/>
  <c r="F17" i="26" s="1"/>
  <c r="G12" i="32"/>
  <c r="G17" i="26" s="1"/>
  <c r="H12" i="32"/>
  <c r="H17" i="26" s="1"/>
  <c r="I12" i="32"/>
  <c r="I17" i="26" s="1"/>
  <c r="B13" i="32"/>
  <c r="B18" i="26" s="1"/>
  <c r="C13" i="32"/>
  <c r="C18" i="26" s="1"/>
  <c r="D13" i="32"/>
  <c r="D18" i="26" s="1"/>
  <c r="E13" i="32"/>
  <c r="E18" i="26" s="1"/>
  <c r="F13" i="32"/>
  <c r="F18" i="26" s="1"/>
  <c r="G13" i="32"/>
  <c r="G18" i="26" s="1"/>
  <c r="H13" i="32"/>
  <c r="H18" i="26" s="1"/>
  <c r="I13" i="32"/>
  <c r="I18" i="26" s="1"/>
  <c r="B21" i="26"/>
  <c r="C21" i="26"/>
  <c r="D21" i="26"/>
  <c r="E21" i="26"/>
  <c r="F21" i="26"/>
  <c r="G21" i="26"/>
  <c r="H21" i="26"/>
  <c r="I21" i="26"/>
  <c r="B22" i="26"/>
  <c r="C22" i="26"/>
  <c r="D22" i="26"/>
  <c r="E22" i="26"/>
  <c r="F22" i="26"/>
  <c r="G22" i="26"/>
  <c r="H22" i="26"/>
  <c r="I22" i="26"/>
  <c r="B23" i="26"/>
  <c r="C23" i="26"/>
  <c r="D23" i="26"/>
  <c r="E23" i="26"/>
  <c r="F23" i="26"/>
  <c r="G23" i="26"/>
  <c r="H23" i="26"/>
  <c r="I23" i="26"/>
  <c r="B25" i="26"/>
  <c r="C25" i="26"/>
  <c r="D25" i="26"/>
  <c r="E25" i="26"/>
  <c r="F25" i="26"/>
  <c r="G25" i="26"/>
  <c r="H25" i="26"/>
  <c r="I25" i="26"/>
  <c r="B26" i="26"/>
  <c r="C26" i="26"/>
  <c r="D26" i="26"/>
  <c r="E26" i="26"/>
  <c r="F26" i="26"/>
  <c r="G26" i="26"/>
  <c r="H26" i="26"/>
  <c r="I26" i="26"/>
  <c r="B27" i="26"/>
  <c r="C27" i="26"/>
  <c r="D27" i="26"/>
  <c r="E27" i="26"/>
  <c r="F27" i="26"/>
  <c r="G27" i="26"/>
  <c r="H27" i="26"/>
  <c r="I27" i="26"/>
  <c r="B28" i="26"/>
  <c r="C28" i="26"/>
  <c r="D28" i="26"/>
  <c r="E28" i="26"/>
  <c r="F28" i="26"/>
  <c r="G28" i="26"/>
  <c r="H28" i="26"/>
  <c r="I28" i="26"/>
  <c r="B29" i="26"/>
  <c r="C29" i="26"/>
  <c r="D29" i="26"/>
  <c r="E29" i="26"/>
  <c r="F29" i="26"/>
  <c r="G29" i="26"/>
  <c r="H29" i="26"/>
  <c r="I29" i="26"/>
  <c r="B24" i="32"/>
  <c r="B30" i="26" s="1"/>
  <c r="C24" i="32"/>
  <c r="C30" i="26" s="1"/>
  <c r="D24" i="32"/>
  <c r="D30" i="26" s="1"/>
  <c r="E24" i="32"/>
  <c r="E30" i="26" s="1"/>
  <c r="F24" i="32"/>
  <c r="F30" i="26" s="1"/>
  <c r="G24" i="32"/>
  <c r="G30" i="26" s="1"/>
  <c r="H24" i="32"/>
  <c r="H30" i="26" s="1"/>
  <c r="I24" i="32"/>
  <c r="I30" i="26" s="1"/>
  <c r="A6" i="32"/>
  <c r="A11" i="26" s="1"/>
  <c r="A7" i="32"/>
  <c r="A12" i="26" s="1"/>
  <c r="A8" i="32"/>
  <c r="A13" i="26" s="1"/>
  <c r="A9" i="32"/>
  <c r="A14" i="26" s="1"/>
  <c r="A10" i="32"/>
  <c r="A15" i="26" s="1"/>
  <c r="A11" i="32"/>
  <c r="A16" i="26" s="1"/>
  <c r="A12" i="32"/>
  <c r="A17" i="26" s="1"/>
  <c r="A13" i="32"/>
  <c r="A18" i="26" s="1"/>
  <c r="A21" i="26"/>
  <c r="A22" i="26"/>
  <c r="A23" i="26"/>
  <c r="A25" i="26"/>
  <c r="A26" i="26"/>
  <c r="A27" i="26"/>
  <c r="A28" i="26"/>
  <c r="A29" i="26"/>
  <c r="A24" i="32"/>
  <c r="A30" i="26" s="1"/>
  <c r="B2" i="32"/>
  <c r="B7" i="26" s="1"/>
  <c r="C2" i="32"/>
  <c r="C7" i="26" s="1"/>
  <c r="D2" i="32"/>
  <c r="D7" i="26" s="1"/>
  <c r="E2" i="32"/>
  <c r="E7" i="26" s="1"/>
  <c r="F2" i="32"/>
  <c r="F7" i="26" s="1"/>
  <c r="G2" i="32"/>
  <c r="G7" i="26" s="1"/>
  <c r="H2" i="32"/>
  <c r="H7" i="26" s="1"/>
  <c r="I2" i="32"/>
  <c r="I7" i="26" s="1"/>
  <c r="B3" i="32"/>
  <c r="B8" i="26" s="1"/>
  <c r="C3" i="32"/>
  <c r="C8" i="26" s="1"/>
  <c r="D3" i="32"/>
  <c r="D8" i="26" s="1"/>
  <c r="E3" i="32"/>
  <c r="E8" i="26" s="1"/>
  <c r="F3" i="32"/>
  <c r="F8" i="26" s="1"/>
  <c r="G3" i="32"/>
  <c r="G8" i="26" s="1"/>
  <c r="H3" i="32"/>
  <c r="H8" i="26" s="1"/>
  <c r="I3" i="32"/>
  <c r="I8" i="26" s="1"/>
  <c r="B4" i="32"/>
  <c r="B9" i="26" s="1"/>
  <c r="C4" i="32"/>
  <c r="C9" i="26" s="1"/>
  <c r="D4" i="32"/>
  <c r="D9" i="26" s="1"/>
  <c r="E4" i="32"/>
  <c r="E9" i="26" s="1"/>
  <c r="F4" i="32"/>
  <c r="F9" i="26" s="1"/>
  <c r="G4" i="32"/>
  <c r="G9" i="26" s="1"/>
  <c r="H4" i="32"/>
  <c r="H9" i="26" s="1"/>
  <c r="I4" i="32"/>
  <c r="I9" i="26" s="1"/>
  <c r="B5" i="32"/>
  <c r="B10" i="26" s="1"/>
  <c r="C5" i="32"/>
  <c r="C10" i="26" s="1"/>
  <c r="D5" i="32"/>
  <c r="D10" i="26" s="1"/>
  <c r="E5" i="32"/>
  <c r="E10" i="26" s="1"/>
  <c r="F5" i="32"/>
  <c r="F10" i="26" s="1"/>
  <c r="G5" i="32"/>
  <c r="G10" i="26" s="1"/>
  <c r="H5" i="32"/>
  <c r="H10" i="26" s="1"/>
  <c r="I5" i="32"/>
  <c r="I10" i="26" s="1"/>
  <c r="A3" i="32"/>
  <c r="A8" i="26" s="1"/>
  <c r="A4" i="32"/>
  <c r="A9" i="26" s="1"/>
  <c r="A5" i="32"/>
  <c r="A10" i="26" s="1"/>
  <c r="A2" i="32"/>
  <c r="A7" i="26" s="1"/>
  <c r="B14" i="26" l="1"/>
  <c r="J20" i="35" l="1"/>
  <c r="J15" i="29" s="1"/>
  <c r="J21" i="27"/>
  <c r="J14" i="34" s="1"/>
  <c r="J24" i="32"/>
  <c r="J30" i="26" s="1"/>
  <c r="J19" i="35"/>
  <c r="J14" i="29" s="1"/>
  <c r="J20" i="27"/>
  <c r="J13" i="34" s="1"/>
  <c r="J18" i="35"/>
  <c r="J13" i="29" s="1"/>
  <c r="J17" i="35"/>
  <c r="J12" i="29" s="1"/>
  <c r="J19" i="27"/>
  <c r="J12" i="34" s="1"/>
  <c r="J16" i="35"/>
  <c r="J11" i="29" s="1"/>
  <c r="J18" i="27"/>
  <c r="J11" i="34" s="1"/>
  <c r="J16" i="27"/>
  <c r="J9" i="34" s="1"/>
  <c r="J14" i="35"/>
  <c r="J9" i="29" s="1"/>
  <c r="J15" i="27"/>
  <c r="J8" i="34" s="1"/>
  <c r="J12" i="35"/>
  <c r="J7" i="29" s="1"/>
  <c r="J11" i="35"/>
  <c r="J6" i="29" s="1"/>
  <c r="J10" i="35"/>
  <c r="J5" i="29" s="1"/>
  <c r="J9" i="35"/>
  <c r="J4" i="29" s="1"/>
  <c r="J13" i="27"/>
  <c r="J7" i="34" s="1"/>
  <c r="J13" i="32"/>
  <c r="J18" i="26" s="1"/>
  <c r="J12" i="32"/>
  <c r="J17" i="26" s="1"/>
  <c r="J11" i="32"/>
  <c r="J16" i="26" s="1"/>
  <c r="J10" i="32"/>
  <c r="J15" i="26" s="1"/>
  <c r="J8" i="35"/>
  <c r="J3" i="29" s="1"/>
  <c r="J11" i="27"/>
  <c r="J5" i="34" s="1"/>
  <c r="J9" i="32"/>
  <c r="J14" i="26" s="1"/>
  <c r="J7" i="35"/>
  <c r="J2" i="29" s="1"/>
  <c r="J10" i="27"/>
  <c r="J4" i="34" s="1"/>
  <c r="J8" i="32"/>
  <c r="J13" i="26" s="1"/>
  <c r="J7" i="32"/>
  <c r="J12" i="26" s="1"/>
  <c r="J6" i="32"/>
  <c r="J11" i="26" s="1"/>
  <c r="J5" i="32"/>
  <c r="J10" i="26" s="1"/>
  <c r="J8" i="27"/>
  <c r="J4" i="32"/>
  <c r="J9" i="26" s="1"/>
  <c r="J3" i="32"/>
  <c r="J8" i="26" s="1"/>
  <c r="J2" i="32"/>
  <c r="J7" i="26" s="1"/>
  <c r="J20" i="32" l="1"/>
  <c r="J26" i="26" s="1"/>
  <c r="J19" i="32"/>
  <c r="J25" i="26" s="1"/>
  <c r="J22" i="32"/>
  <c r="J28" i="26" s="1"/>
  <c r="J18" i="32"/>
  <c r="J23" i="26" s="1"/>
  <c r="J23" i="32"/>
  <c r="J29" i="26" s="1"/>
  <c r="J16" i="32"/>
  <c r="J21" i="26" s="1"/>
  <c r="J17" i="32"/>
  <c r="J22" i="26" s="1"/>
  <c r="J21" i="32"/>
  <c r="J27" i="26" s="1"/>
  <c r="J12" i="27"/>
  <c r="J6" i="34" s="1"/>
  <c r="I12" i="27"/>
  <c r="I6" i="34" s="1"/>
  <c r="J13" i="35"/>
  <c r="J8" i="29" s="1"/>
  <c r="I13" i="35"/>
  <c r="I8" i="29" s="1"/>
  <c r="B7" i="7"/>
  <c r="C7" i="7"/>
  <c r="B6" i="7" l="1"/>
  <c r="C6" i="7" s="1"/>
  <c r="F13" i="16"/>
  <c r="B47" i="32"/>
  <c r="E8" i="7"/>
  <c r="E5" i="7"/>
  <c r="D8" i="7"/>
  <c r="D11" i="7"/>
  <c r="J4" i="52" s="1"/>
  <c r="C8" i="7"/>
  <c r="A17" i="29"/>
  <c r="F21" i="16"/>
  <c r="J47" i="32"/>
  <c r="D47" i="32"/>
  <c r="C47" i="32"/>
  <c r="I47" i="32"/>
  <c r="E47" i="32"/>
  <c r="F47" i="32"/>
  <c r="G47" i="32"/>
  <c r="H47" i="32"/>
  <c r="J22" i="38"/>
  <c r="J3" i="38"/>
  <c r="K3" i="38"/>
  <c r="L3" i="38"/>
  <c r="J4" i="38"/>
  <c r="J6" i="38"/>
  <c r="K6" i="38"/>
  <c r="L6" i="38"/>
  <c r="K7" i="38"/>
  <c r="J8" i="38"/>
  <c r="K8" i="38"/>
  <c r="J11" i="38"/>
  <c r="I12" i="38"/>
  <c r="K12" i="38"/>
  <c r="J16" i="38"/>
  <c r="J23" i="38"/>
  <c r="K23" i="38"/>
  <c r="L23" i="38"/>
  <c r="I24" i="38"/>
  <c r="L26" i="38"/>
  <c r="J27" i="38"/>
  <c r="J28" i="38"/>
  <c r="J29" i="38"/>
  <c r="K29" i="38"/>
  <c r="L29" i="38"/>
  <c r="L31" i="38"/>
  <c r="J32" i="38"/>
  <c r="J35" i="38"/>
  <c r="J38" i="38"/>
  <c r="K38" i="38"/>
  <c r="L38" i="38"/>
  <c r="J39" i="38"/>
  <c r="K39" i="38"/>
  <c r="L39" i="38"/>
  <c r="J40" i="38"/>
  <c r="L40" i="38"/>
  <c r="B6" i="21"/>
  <c r="B5" i="21"/>
  <c r="J3" i="34"/>
  <c r="J2" i="34"/>
  <c r="B4" i="21"/>
  <c r="D6" i="21"/>
  <c r="D4" i="21"/>
  <c r="C11" i="7" l="1"/>
  <c r="G4" i="52" s="1"/>
  <c r="E11" i="7"/>
  <c r="M4" i="52" s="1"/>
  <c r="F23" i="16"/>
  <c r="C4" i="52" s="1"/>
  <c r="K14" i="32" l="1"/>
  <c r="M14" i="32" s="1"/>
  <c r="C3" i="26"/>
  <c r="K15" i="32"/>
  <c r="K24" i="32"/>
  <c r="K20" i="32"/>
  <c r="K16" i="32"/>
  <c r="K10" i="32"/>
  <c r="Q10" i="32" s="1"/>
  <c r="K6" i="32"/>
  <c r="K22" i="32"/>
  <c r="K12" i="32"/>
  <c r="K8" i="32"/>
  <c r="K26" i="32"/>
  <c r="K17" i="32"/>
  <c r="K11" i="32"/>
  <c r="K3" i="32"/>
  <c r="K23" i="32"/>
  <c r="K19" i="32"/>
  <c r="K13" i="32"/>
  <c r="K9" i="32"/>
  <c r="K5" i="32"/>
  <c r="K2" i="32"/>
  <c r="K18" i="32"/>
  <c r="K4" i="32"/>
  <c r="K21" i="32"/>
  <c r="K7" i="32"/>
  <c r="Q7" i="32" s="1"/>
  <c r="K47" i="32"/>
  <c r="L14" i="32" l="1"/>
  <c r="P14" i="32"/>
  <c r="O14" i="32"/>
  <c r="Q14" i="32"/>
  <c r="N14" i="32"/>
  <c r="N15" i="32"/>
  <c r="M15" i="32"/>
  <c r="L15" i="32"/>
  <c r="F4" i="21"/>
  <c r="I4" i="52" s="1"/>
  <c r="Q15" i="32"/>
  <c r="O13" i="32"/>
  <c r="C4" i="21"/>
  <c r="L13" i="32"/>
  <c r="P13" i="32"/>
  <c r="N13" i="32"/>
  <c r="M13" i="32"/>
  <c r="Q13" i="32"/>
  <c r="M22" i="32"/>
  <c r="L22" i="32"/>
  <c r="Q24" i="32"/>
  <c r="M24" i="32"/>
  <c r="L24" i="32"/>
  <c r="Q19" i="32"/>
  <c r="L19" i="32"/>
  <c r="M19" i="32"/>
  <c r="Q9" i="32"/>
  <c r="P9" i="32"/>
  <c r="M9" i="32"/>
  <c r="N9" i="32"/>
  <c r="O9" i="32"/>
  <c r="L9" i="32"/>
  <c r="Q8" i="32"/>
  <c r="P8" i="32"/>
  <c r="O8" i="32"/>
  <c r="L8" i="32"/>
  <c r="N8" i="32"/>
  <c r="M8" i="32"/>
  <c r="Q26" i="32"/>
  <c r="M26" i="32"/>
  <c r="L26" i="32"/>
  <c r="L21" i="32"/>
  <c r="Q21" i="32"/>
  <c r="M21" i="32"/>
  <c r="M18" i="32"/>
  <c r="O18" i="32"/>
  <c r="L18" i="32"/>
  <c r="Q18" i="32"/>
  <c r="N6" i="32"/>
  <c r="Q6" i="32"/>
  <c r="P17" i="32"/>
  <c r="O17" i="32"/>
  <c r="L17" i="32"/>
  <c r="M17" i="32"/>
  <c r="Q17" i="32"/>
  <c r="N17" i="32"/>
  <c r="L2" i="32"/>
  <c r="Q2" i="32"/>
  <c r="M2" i="32"/>
  <c r="L11" i="32"/>
  <c r="Q11" i="32"/>
  <c r="Q22" i="32"/>
  <c r="L12" i="32"/>
  <c r="Q12" i="32"/>
  <c r="Q4" i="32"/>
  <c r="L4" i="32"/>
  <c r="M4" i="32"/>
  <c r="Q23" i="32"/>
  <c r="L23" i="32"/>
  <c r="M23" i="32"/>
  <c r="P3" i="32"/>
  <c r="Q3" i="32"/>
  <c r="M47" i="32"/>
  <c r="Q47" i="32"/>
  <c r="L47" i="32"/>
  <c r="M20" i="32"/>
  <c r="L20" i="32"/>
  <c r="Q20" i="32"/>
  <c r="Q5" i="32"/>
  <c r="L5" i="32"/>
  <c r="L16" i="32"/>
  <c r="M16" i="32"/>
  <c r="Q16" i="32"/>
  <c r="K16" i="34" l="1"/>
  <c r="K3" i="34"/>
  <c r="K7" i="34"/>
  <c r="K12" i="34"/>
  <c r="K11" i="34"/>
  <c r="K14" i="34"/>
  <c r="K13" i="34"/>
  <c r="K9" i="34"/>
  <c r="K8" i="34"/>
  <c r="K2" i="34"/>
  <c r="L2" i="34" s="1"/>
  <c r="K5" i="34"/>
  <c r="K4" i="34"/>
  <c r="K6" i="34"/>
  <c r="G4" i="21"/>
  <c r="E4" i="21"/>
  <c r="C3" i="27"/>
  <c r="C4" i="27"/>
  <c r="L3" i="34" l="1"/>
  <c r="F5" i="21"/>
  <c r="L4" i="52" s="1"/>
  <c r="P16" i="34"/>
  <c r="L16" i="34"/>
  <c r="P9" i="34"/>
  <c r="L9" i="34"/>
  <c r="P12" i="34"/>
  <c r="L12" i="34"/>
  <c r="L6" i="34"/>
  <c r="P6" i="34"/>
  <c r="P7" i="34"/>
  <c r="L7" i="34"/>
  <c r="K2" i="29" s="1"/>
  <c r="L11" i="34"/>
  <c r="P11" i="34"/>
  <c r="P5" i="34"/>
  <c r="L5" i="34"/>
  <c r="P8" i="34"/>
  <c r="L8" i="34"/>
  <c r="P4" i="34"/>
  <c r="L4" i="34"/>
  <c r="L14" i="34"/>
  <c r="P14" i="34"/>
  <c r="P13" i="34"/>
  <c r="L13" i="34"/>
  <c r="C5" i="21"/>
  <c r="P2" i="34"/>
  <c r="P3" i="34"/>
  <c r="M12" i="34"/>
  <c r="O12" i="34"/>
  <c r="N12" i="34"/>
  <c r="O13" i="34"/>
  <c r="M13" i="34"/>
  <c r="K12" i="29" l="1"/>
  <c r="O12" i="29" s="1"/>
  <c r="K4" i="29"/>
  <c r="M4" i="29" s="1"/>
  <c r="K9" i="29"/>
  <c r="O9" i="29" s="1"/>
  <c r="K3" i="29"/>
  <c r="M3" i="29" s="1"/>
  <c r="K5" i="29"/>
  <c r="O5" i="29" s="1"/>
  <c r="K13" i="29"/>
  <c r="M13" i="29" s="1"/>
  <c r="K14" i="29"/>
  <c r="O14" i="29" s="1"/>
  <c r="K11" i="29"/>
  <c r="O11" i="29" s="1"/>
  <c r="K6" i="29"/>
  <c r="K15" i="29"/>
  <c r="L15" i="29" s="1"/>
  <c r="K8" i="29"/>
  <c r="K7" i="29"/>
  <c r="N7" i="29" s="1"/>
  <c r="K17" i="29"/>
  <c r="D3" i="35"/>
  <c r="E5" i="21"/>
  <c r="G5" i="21"/>
  <c r="D4" i="35"/>
  <c r="N2" i="29"/>
  <c r="F6" i="21" l="1"/>
  <c r="O4" i="52" s="1"/>
  <c r="L12" i="29"/>
  <c r="N6" i="29"/>
  <c r="O7" i="29"/>
  <c r="L7" i="29"/>
  <c r="O4" i="29"/>
  <c r="M2" i="29"/>
  <c r="L2" i="29"/>
  <c r="O2" i="29"/>
  <c r="L4" i="29"/>
  <c r="N4" i="29"/>
  <c r="L13" i="29"/>
  <c r="M17" i="29"/>
  <c r="L17" i="29"/>
  <c r="N17" i="29"/>
  <c r="N12" i="29"/>
  <c r="M12" i="29"/>
  <c r="L11" i="29"/>
  <c r="M7" i="29"/>
  <c r="O13" i="29"/>
  <c r="N13" i="29"/>
  <c r="L14" i="29"/>
  <c r="O3" i="29"/>
  <c r="L3" i="29"/>
  <c r="M6" i="29"/>
  <c r="N11" i="29"/>
  <c r="O6" i="29"/>
  <c r="P4" i="52" s="1"/>
  <c r="N15" i="29"/>
  <c r="M15" i="29"/>
  <c r="O15" i="29"/>
  <c r="M11" i="29"/>
  <c r="N14" i="29"/>
  <c r="L6" i="29"/>
  <c r="M14" i="29"/>
  <c r="C6" i="21"/>
  <c r="N3" i="29"/>
  <c r="N9" i="29"/>
  <c r="M9" i="29"/>
  <c r="N5" i="29"/>
  <c r="O8" i="29"/>
  <c r="N8" i="29"/>
  <c r="M8" i="29"/>
  <c r="L8" i="29"/>
  <c r="M5" i="29"/>
  <c r="L5" i="29"/>
  <c r="L9" i="29"/>
  <c r="R4" i="52" l="1"/>
  <c r="S4" i="52"/>
  <c r="Q4" i="52"/>
  <c r="G6" i="21"/>
  <c r="E6" i="21"/>
  <c r="E7" i="21" s="1"/>
  <c r="O17" i="29"/>
  <c r="G10"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97rmaden</author>
  </authors>
  <commentList>
    <comment ref="D2" authorId="0" shapeId="0" xr:uid="{00000000-0006-0000-0500-000001000000}">
      <text>
        <r>
          <rPr>
            <sz val="9"/>
            <color indexed="81"/>
            <rFont val="Tahoma"/>
            <family val="2"/>
          </rPr>
          <t xml:space="preserve">Click on this cell to view the list of amendments.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97rmaden</author>
  </authors>
  <commentList>
    <comment ref="D2" authorId="0" shapeId="0" xr:uid="{00000000-0006-0000-0700-000001000000}">
      <text>
        <r>
          <rPr>
            <sz val="9"/>
            <color indexed="81"/>
            <rFont val="Tahoma"/>
            <family val="2"/>
          </rPr>
          <t>Click on this cell to view the list of amendments.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97rmaden</author>
  </authors>
  <commentList>
    <comment ref="E2" authorId="0" shapeId="0" xr:uid="{00000000-0006-0000-0900-000001000000}">
      <text>
        <r>
          <rPr>
            <sz val="9"/>
            <color indexed="81"/>
            <rFont val="Tahoma"/>
            <family val="2"/>
          </rPr>
          <t xml:space="preserve">Click on this cell to view the list of amendments.
</t>
        </r>
      </text>
    </comment>
  </commentList>
</comments>
</file>

<file path=xl/sharedStrings.xml><?xml version="1.0" encoding="utf-8"?>
<sst xmlns="http://schemas.openxmlformats.org/spreadsheetml/2006/main" count="662" uniqueCount="365">
  <si>
    <t>In the yellow cells below, enter descriptive information about a field. You can obtain calculations that are based on: acres,  OR length and width of beds, OR total square footage of growing area.</t>
  </si>
  <si>
    <t>Farm Name:</t>
  </si>
  <si>
    <t>Acres:</t>
    <phoneticPr fontId="6" type="noConversion"/>
  </si>
  <si>
    <t>Field name :</t>
    <phoneticPr fontId="6" type="noConversion"/>
  </si>
  <si>
    <t>Select crop planned from dropdown menu. (If mixed field, select "Mixed Vegetables"):</t>
    <phoneticPr fontId="6" type="noConversion"/>
  </si>
  <si>
    <r>
      <t xml:space="preserve">Select previous cover crop on field from dropdown menu. </t>
    </r>
    <r>
      <rPr>
        <sz val="12"/>
        <color rgb="FFFF0000"/>
        <rFont val="Verdana"/>
        <family val="2"/>
      </rPr>
      <t>If none, select "No Cover Crop".</t>
    </r>
  </si>
  <si>
    <t>SIZE OF YOUR FIELD, BEDS, OR GROWING AREA:</t>
  </si>
  <si>
    <t>Enter the number of acres:</t>
  </si>
  <si>
    <t>OR</t>
    <phoneticPr fontId="6" type="noConversion"/>
  </si>
  <si>
    <t xml:space="preserve">Enter bed width (in feet): </t>
  </si>
  <si>
    <t>AND</t>
  </si>
  <si>
    <t>Enter bed length (in feet):</t>
    <phoneticPr fontId="6" type="noConversion"/>
  </si>
  <si>
    <t>Number of beds</t>
  </si>
  <si>
    <t>Enter total square feet of growing area:</t>
  </si>
  <si>
    <t>Mixed vegetables</t>
  </si>
  <si>
    <t>Basil</t>
  </si>
  <si>
    <t>No Cover Crop</t>
  </si>
  <si>
    <t>Beans: Dry/Snap/Lima</t>
  </si>
  <si>
    <t xml:space="preserve">Alsike clover </t>
  </si>
  <si>
    <t>Beets, Swiss Chard</t>
  </si>
  <si>
    <t>Berseem clover</t>
  </si>
  <si>
    <t>Broccoli, Cabbage, Cauliflower</t>
  </si>
  <si>
    <t>Buckwhat</t>
  </si>
  <si>
    <t>Carrots, Parsnips</t>
  </si>
  <si>
    <t>Field Peas</t>
  </si>
  <si>
    <t>Celery / Celeriac</t>
  </si>
  <si>
    <t>Hairy vetch, mid summer incorp</t>
  </si>
  <si>
    <t>Collards</t>
  </si>
  <si>
    <t>Hairy vetch, spring incorp</t>
  </si>
  <si>
    <t>Cucumbers, Melons</t>
  </si>
  <si>
    <t>Oat, leonard</t>
  </si>
  <si>
    <t>Eggplant</t>
  </si>
  <si>
    <t>Other</t>
  </si>
  <si>
    <t>Garlic</t>
  </si>
  <si>
    <t>Red clover, spring incorp</t>
  </si>
  <si>
    <t>Leafy Greens</t>
  </si>
  <si>
    <t>Red clover, mid summer incorp</t>
  </si>
  <si>
    <t>Lettuce / Escarole</t>
  </si>
  <si>
    <t>Rye</t>
  </si>
  <si>
    <t>Muskmelon</t>
  </si>
  <si>
    <t>Sudan grass</t>
  </si>
  <si>
    <t>Okra</t>
  </si>
  <si>
    <t>Sweet clover</t>
  </si>
  <si>
    <t>Ornamental Corn</t>
  </si>
  <si>
    <t>Ornamental Gourds</t>
  </si>
  <si>
    <t>Peas</t>
  </si>
  <si>
    <t>Peppers</t>
  </si>
  <si>
    <t>Potatoes</t>
  </si>
  <si>
    <t>Pumpkins</t>
  </si>
  <si>
    <t>Radishes</t>
  </si>
  <si>
    <t>Rhubarb - Establishment</t>
  </si>
  <si>
    <t>Rhubarb - Maintenance</t>
  </si>
  <si>
    <t>Spinach</t>
  </si>
  <si>
    <t>Sweet Potato</t>
  </si>
  <si>
    <t>Squash</t>
  </si>
  <si>
    <t>Sweet Corn, Early</t>
  </si>
  <si>
    <t>Sweet Corn, Full Season</t>
  </si>
  <si>
    <t>Tomatoes</t>
  </si>
  <si>
    <t>Rutabagas, Turnips</t>
  </si>
  <si>
    <t>Watermelon</t>
  </si>
  <si>
    <t>Blueberries - Establishment</t>
  </si>
  <si>
    <t>Blueberries - Maintenance</t>
  </si>
  <si>
    <t>Cranberries - Establishment</t>
  </si>
  <si>
    <t>Cranberries - Maintenance</t>
  </si>
  <si>
    <t>Hops - Establishment</t>
  </si>
  <si>
    <t>Hops - Maintenance</t>
  </si>
  <si>
    <t>Raspberries/Brambles -Establishment</t>
  </si>
  <si>
    <t>Raspberries/Brambles - Maintenance</t>
  </si>
  <si>
    <t>Strawberries - Establishment</t>
  </si>
  <si>
    <t>Strawberries - Maintenance</t>
  </si>
  <si>
    <t>Asparagus - Establishment</t>
  </si>
  <si>
    <t>Asparagus - Maintenance</t>
  </si>
  <si>
    <r>
      <rPr>
        <b/>
        <sz val="12"/>
        <rFont val="Verdana"/>
        <family val="2"/>
      </rPr>
      <t xml:space="preserve">Instructions: </t>
    </r>
    <r>
      <rPr>
        <sz val="12"/>
        <rFont val="Verdana"/>
        <family val="2"/>
      </rPr>
      <t xml:space="preserve">Enter the information from your soil test results in the yellow cells. Select P and K levels from drop down menus. </t>
    </r>
    <r>
      <rPr>
        <i/>
        <sz val="12"/>
        <rFont val="Verdana"/>
        <family val="2"/>
      </rPr>
      <t>Only enter information from a soil test lab that uses the modified Morgan's extract</t>
    </r>
    <r>
      <rPr>
        <sz val="12"/>
        <rFont val="Verdana"/>
        <family val="2"/>
      </rPr>
      <t xml:space="preserve"> (UVM, UMass, UMaine, Dairy One in NY)</t>
    </r>
  </si>
  <si>
    <t>Field Name</t>
  </si>
  <si>
    <t>pH</t>
    <phoneticPr fontId="6" type="noConversion"/>
  </si>
  <si>
    <r>
      <t xml:space="preserve">Phosphorus </t>
    </r>
    <r>
      <rPr>
        <i/>
        <sz val="11"/>
        <rFont val="Verdana"/>
        <family val="2"/>
      </rPr>
      <t>(enter ppm P--if your results are in lbs/acre, divide that number by 2 for ppm)</t>
    </r>
  </si>
  <si>
    <r>
      <t xml:space="preserve">Potasssium </t>
    </r>
    <r>
      <rPr>
        <i/>
        <sz val="11"/>
        <rFont val="Verdana"/>
        <family val="2"/>
      </rPr>
      <t>(enter ppm K--if your results are in lbs/acre, divide that number by 2 for ppm)</t>
    </r>
  </si>
  <si>
    <t>Calcium (Ca)</t>
    <phoneticPr fontId="6" type="noConversion"/>
  </si>
  <si>
    <t>Magnesium (Mg)</t>
    <phoneticPr fontId="6" type="noConversion"/>
  </si>
  <si>
    <t>Sulfur (S)</t>
    <phoneticPr fontId="6" type="noConversion"/>
  </si>
  <si>
    <t>Micronutrients (Modified Morgan ppm)</t>
    <phoneticPr fontId="6" type="noConversion"/>
  </si>
  <si>
    <t>Iron (Fe)</t>
    <phoneticPr fontId="6" type="noConversion"/>
  </si>
  <si>
    <t>Manganese (Mn)</t>
    <phoneticPr fontId="6" type="noConversion"/>
  </si>
  <si>
    <t>Boron (B)</t>
    <phoneticPr fontId="6" type="noConversion"/>
  </si>
  <si>
    <t>Copper (Cu)</t>
    <phoneticPr fontId="6" type="noConversion"/>
  </si>
  <si>
    <t>Zinc (Zn)</t>
    <phoneticPr fontId="6" type="noConversion"/>
  </si>
  <si>
    <t>Sodium (Na)</t>
    <phoneticPr fontId="6" type="noConversion"/>
  </si>
  <si>
    <t>Aluminum (Al)</t>
    <phoneticPr fontId="6" type="noConversion"/>
  </si>
  <si>
    <t>% Soil Organic Matter</t>
  </si>
  <si>
    <t>%</t>
  </si>
  <si>
    <r>
      <t xml:space="preserve">Lime recommendation from soil test </t>
    </r>
    <r>
      <rPr>
        <i/>
        <sz val="10"/>
        <rFont val="Verdana"/>
        <family val="2"/>
      </rPr>
      <t>(enter number of tons per acre; if in pounds per 1000 square feet, divide that number by 435)</t>
    </r>
  </si>
  <si>
    <t>tons</t>
  </si>
  <si>
    <t>Nitrogen</t>
    <phoneticPr fontId="6" type="noConversion"/>
  </si>
  <si>
    <t>Phosphate</t>
    <phoneticPr fontId="6" type="noConversion"/>
  </si>
  <si>
    <t>Potash</t>
    <phoneticPr fontId="6" type="noConversion"/>
  </si>
  <si>
    <t>Under 2 ppm</t>
  </si>
  <si>
    <t>Under 25 ppm</t>
  </si>
  <si>
    <t>2-3 ppm</t>
  </si>
  <si>
    <t>25-50 ppm</t>
  </si>
  <si>
    <t>3-4 ppm</t>
  </si>
  <si>
    <t>50-75 ppm</t>
  </si>
  <si>
    <t>4-7 ppm</t>
  </si>
  <si>
    <t>75-100 ppm</t>
  </si>
  <si>
    <t>7-10 ppm</t>
  </si>
  <si>
    <t>100-130 ppm</t>
  </si>
  <si>
    <t>10-14 ppm</t>
  </si>
  <si>
    <t>130-160 ppm</t>
  </si>
  <si>
    <t>14-18 ppm</t>
  </si>
  <si>
    <t>160-190 ppm</t>
  </si>
  <si>
    <t>over 18 ppm</t>
  </si>
  <si>
    <t>over 190 ppm</t>
  </si>
  <si>
    <t>Crop</t>
  </si>
  <si>
    <t>Home Vegetable (mixed)</t>
  </si>
  <si>
    <t>Home Blueberries-Establishment</t>
  </si>
  <si>
    <t>Home Blueberries-Maintenance</t>
  </si>
  <si>
    <t>Home Brambles-Establishment</t>
  </si>
  <si>
    <t>Home Brambles-Maintenance</t>
  </si>
  <si>
    <t>Home Strawberries-Establishment</t>
  </si>
  <si>
    <t>Home Strawberries-Maintenance</t>
  </si>
  <si>
    <t>Onions, Leeks</t>
  </si>
  <si>
    <t>K</t>
    <phoneticPr fontId="6" type="noConversion"/>
  </si>
  <si>
    <r>
      <t>Instructions:</t>
    </r>
    <r>
      <rPr>
        <sz val="12"/>
        <rFont val="Verdana"/>
        <family val="2"/>
      </rPr>
      <t xml:space="preserve"> In the yellow highlighted areas, enter the necessary information. </t>
    </r>
    <r>
      <rPr>
        <b/>
        <sz val="12"/>
        <rFont val="Verdana"/>
        <family val="2"/>
      </rPr>
      <t xml:space="preserve">All shaded areas will autofill, but you can overwrite those numbers if you choose. </t>
    </r>
    <r>
      <rPr>
        <sz val="12"/>
        <rFont val="Verdana"/>
        <family val="2"/>
      </rPr>
      <t>Leave blank whatever you don't know or is not applicable. (</t>
    </r>
    <r>
      <rPr>
        <i/>
        <sz val="11"/>
        <rFont val="Verdana"/>
        <family val="2"/>
      </rPr>
      <t>If your soil test results are reported in 1000 square feet, multiply the recommendations by 43.5 to convert to pounds per acre)</t>
    </r>
  </si>
  <si>
    <t>ENTER YOUR VALUES IN YELLOW SQUARES:</t>
    <phoneticPr fontId="6" type="noConversion"/>
  </si>
  <si>
    <t xml:space="preserve">N </t>
    <phoneticPr fontId="6" type="noConversion"/>
  </si>
  <si>
    <t xml:space="preserve">P2O5 </t>
    <phoneticPr fontId="6" type="noConversion"/>
  </si>
  <si>
    <t>K2O</t>
    <phoneticPr fontId="6" type="noConversion"/>
  </si>
  <si>
    <r>
      <t>Nitrogen recommendations</t>
    </r>
    <r>
      <rPr>
        <sz val="12"/>
        <rFont val="Verdana"/>
        <family val="2"/>
      </rPr>
      <t xml:space="preserve"> (lbs/ acre)</t>
    </r>
  </si>
  <si>
    <r>
      <t xml:space="preserve">Phosphate recommendations </t>
    </r>
    <r>
      <rPr>
        <sz val="12"/>
        <rFont val="Verdana"/>
        <family val="2"/>
      </rPr>
      <t>(lbs/acre)</t>
    </r>
  </si>
  <si>
    <r>
      <t xml:space="preserve">Potash recommendations </t>
    </r>
    <r>
      <rPr>
        <sz val="12"/>
        <rFont val="Verdana"/>
        <family val="2"/>
      </rPr>
      <t>(lbs/acre)</t>
    </r>
  </si>
  <si>
    <t>% soil organic matter</t>
  </si>
  <si>
    <r>
      <t>Cover crop contribution</t>
    </r>
    <r>
      <rPr>
        <sz val="12"/>
        <rFont val="Verdana"/>
        <family val="2"/>
      </rPr>
      <t>s (lbs N per acre)--</t>
    </r>
    <phoneticPr fontId="6" type="noConversion"/>
  </si>
  <si>
    <r>
      <t>Manure contributions</t>
    </r>
    <r>
      <rPr>
        <sz val="12"/>
        <rFont val="Verdana"/>
        <family val="2"/>
      </rPr>
      <t xml:space="preserve">--Enter </t>
    </r>
    <r>
      <rPr>
        <b/>
        <sz val="12"/>
        <rFont val="Verdana"/>
        <family val="2"/>
      </rPr>
      <t>tons</t>
    </r>
    <r>
      <rPr>
        <sz val="12"/>
        <rFont val="Verdana"/>
        <family val="2"/>
      </rPr>
      <t xml:space="preserve"> of manure applied per acre* (read below)</t>
    </r>
  </si>
  <si>
    <r>
      <t>Compost contributions</t>
    </r>
    <r>
      <rPr>
        <sz val="12"/>
        <rFont val="Verdana"/>
        <family val="2"/>
      </rPr>
      <t>--Enter yards compost applied per acre</t>
    </r>
  </si>
  <si>
    <r>
      <t>Sod contribution</t>
    </r>
    <r>
      <rPr>
        <sz val="12"/>
        <rFont val="Verdana"/>
        <family val="2"/>
      </rPr>
      <t>--(Enter a "1" in the cell to the right if in sod last season)</t>
    </r>
  </si>
  <si>
    <r>
      <t xml:space="preserve">Total Nutrients Needed </t>
    </r>
    <r>
      <rPr>
        <i/>
        <sz val="12"/>
        <rFont val="Verdana"/>
        <family val="2"/>
      </rPr>
      <t>(lbs/Acre)</t>
    </r>
  </si>
  <si>
    <t>middle N needs</t>
  </si>
  <si>
    <t>MaxN Lbs</t>
  </si>
  <si>
    <t>Oat, leonard</t>
    <phoneticPr fontId="6" type="noConversion"/>
  </si>
  <si>
    <t>Hairy vetch, spring incorp</t>
    <phoneticPr fontId="6" type="noConversion"/>
  </si>
  <si>
    <t>Hairy vetch, mid summer incorp</t>
    <phoneticPr fontId="6" type="noConversion"/>
  </si>
  <si>
    <t>Red clover, spring incorp</t>
    <phoneticPr fontId="6" type="noConversion"/>
  </si>
  <si>
    <t>Red clover, mid summer incorp</t>
    <phoneticPr fontId="6" type="noConversion"/>
  </si>
  <si>
    <t>Alsike clover</t>
    <phoneticPr fontId="6" type="noConversion"/>
  </si>
  <si>
    <t>Sweetclover</t>
    <phoneticPr fontId="6" type="noConversion"/>
  </si>
  <si>
    <t>Sudangrass</t>
    <phoneticPr fontId="6" type="noConversion"/>
  </si>
  <si>
    <t>Collards, Kale</t>
  </si>
  <si>
    <t>Field Peas</t>
    <phoneticPr fontId="6" type="noConversion"/>
  </si>
  <si>
    <t>buckwheat</t>
    <phoneticPr fontId="6" type="noConversion"/>
  </si>
  <si>
    <t>Berseem clover</t>
    <phoneticPr fontId="6" type="noConversion"/>
  </si>
  <si>
    <t>other</t>
  </si>
  <si>
    <t>Enter estimated N In Cell to Right-&gt;</t>
  </si>
  <si>
    <t>Onions, leeks</t>
  </si>
  <si>
    <t>Enter estimated N in Cell to Right-&gt;</t>
  </si>
  <si>
    <t>No cover crop</t>
  </si>
  <si>
    <r>
      <rPr>
        <b/>
        <sz val="12"/>
        <rFont val="Verdana"/>
        <family val="2"/>
      </rPr>
      <t>Instructions:</t>
    </r>
    <r>
      <rPr>
        <sz val="12"/>
        <rFont val="Verdana"/>
        <family val="2"/>
      </rPr>
      <t xml:space="preserve"> Select your nitrogen amendment from the drop down menu in the yellow cell after reviewing the chart below. If you have a custom blend or a product with a unique analysis, enter the analysis at the bottom of the chart to the right of "other".</t>
    </r>
  </si>
  <si>
    <t>Select Your Nitrogen Amendment----&gt;</t>
  </si>
  <si>
    <t>Soybean meal, OG</t>
  </si>
  <si>
    <t>Based on your nutrient calculations, you should apply</t>
  </si>
  <si>
    <t>lbs N/ acre</t>
  </si>
  <si>
    <t>POSSIBLE NITROGEN AMENDMENTS</t>
  </si>
  <si>
    <t>AMENDMENT NAME</t>
  </si>
  <si>
    <t>Blended Fertilizers</t>
  </si>
  <si>
    <t>NONE NEEDED</t>
  </si>
  <si>
    <t>Naturesafe 10-2-8</t>
  </si>
  <si>
    <t xml:space="preserve">Blue shading indicates an organic material, but check with your certifying agency before using. </t>
    <phoneticPr fontId="6" type="noConversion"/>
  </si>
  <si>
    <t>Material</t>
  </si>
  <si>
    <t>% N</t>
    <phoneticPr fontId="6" type="noConversion"/>
  </si>
  <si>
    <t>%P2 O5</t>
    <phoneticPr fontId="6" type="noConversion"/>
  </si>
  <si>
    <t>%K20</t>
    <phoneticPr fontId="6" type="noConversion"/>
  </si>
  <si>
    <t>%Ca</t>
    <phoneticPr fontId="6" type="noConversion"/>
  </si>
  <si>
    <t>%Mg</t>
    <phoneticPr fontId="6" type="noConversion"/>
  </si>
  <si>
    <t>%S</t>
    <phoneticPr fontId="6" type="noConversion"/>
  </si>
  <si>
    <t>Relative Availability</t>
    <phoneticPr fontId="6" type="noConversion"/>
  </si>
  <si>
    <t xml:space="preserve">Price per 50 lb </t>
  </si>
  <si>
    <t>Price per pound of N</t>
    <phoneticPr fontId="6" type="noConversion"/>
  </si>
  <si>
    <r>
      <t xml:space="preserve">Pounds of fertilizer to meet your N needs </t>
    </r>
    <r>
      <rPr>
        <i/>
        <sz val="10"/>
        <rFont val="Verdana"/>
        <family val="2"/>
      </rPr>
      <t>(for your specified area)</t>
    </r>
    <phoneticPr fontId="6" type="noConversion"/>
  </si>
  <si>
    <t>P205 Contributions</t>
    <phoneticPr fontId="6" type="noConversion"/>
  </si>
  <si>
    <t>K20 Contributions</t>
    <phoneticPr fontId="6" type="noConversion"/>
  </si>
  <si>
    <t>PoundsCa</t>
    <phoneticPr fontId="6" type="noConversion"/>
  </si>
  <si>
    <t>Pounds Mg</t>
    <phoneticPr fontId="6" type="noConversion"/>
  </si>
  <si>
    <t>Pounds S</t>
    <phoneticPr fontId="6" type="noConversion"/>
  </si>
  <si>
    <t>Estimated Cost of fertilizer</t>
    <phoneticPr fontId="6" type="noConversion"/>
  </si>
  <si>
    <t>Divide by to accout for availability (% avail)</t>
  </si>
  <si>
    <t>Giroux's pellets</t>
  </si>
  <si>
    <t>med</t>
  </si>
  <si>
    <r>
      <rPr>
        <b/>
        <sz val="12"/>
        <rFont val="Verdana"/>
        <family val="2"/>
      </rPr>
      <t>Instructions:</t>
    </r>
    <r>
      <rPr>
        <sz val="12"/>
        <rFont val="Verdana"/>
        <family val="2"/>
      </rPr>
      <t xml:space="preserve"> Select your phosphate amendment from the drop down menu in the yellow cell after reviewing the chart below.</t>
    </r>
  </si>
  <si>
    <t>Select Your Phosphate Amendment-&gt;</t>
  </si>
  <si>
    <t>Your N selection contributes</t>
  </si>
  <si>
    <t>lbs P205/ acre</t>
  </si>
  <si>
    <t>You should apply an additional</t>
  </si>
  <si>
    <t>POSSIBLE PHOSPHATE AMENDMENTS</t>
  </si>
  <si>
    <t>OTHER--enter Name in this cell, analysis and price to right--&gt;</t>
  </si>
  <si>
    <t>Pounds of P205 fertilizer per acre (accounts for any P205 in your N fertilizer selection)</t>
  </si>
  <si>
    <t xml:space="preserve">K20 Contributions (pounds) </t>
    <phoneticPr fontId="6" type="noConversion"/>
  </si>
  <si>
    <t>Estimated Cost</t>
    <phoneticPr fontId="6" type="noConversion"/>
  </si>
  <si>
    <t>med</t>
    <phoneticPr fontId="6" type="noConversion"/>
  </si>
  <si>
    <r>
      <rPr>
        <b/>
        <sz val="12"/>
        <rFont val="Verdana"/>
        <family val="2"/>
      </rPr>
      <t>Instructions:</t>
    </r>
    <r>
      <rPr>
        <sz val="12"/>
        <rFont val="Verdana"/>
        <family val="2"/>
      </rPr>
      <t xml:space="preserve"> Select your potash amendments from the drop down menu in the yellow cell after reviewing the chart below.</t>
    </r>
  </si>
  <si>
    <t>Select Your Potash Amendments ---&gt;</t>
  </si>
  <si>
    <t>Sulfate of potash</t>
  </si>
  <si>
    <t>Your N and P205 selections contribute</t>
  </si>
  <si>
    <t>lbs K20/ acre</t>
  </si>
  <si>
    <t>You still need to add</t>
  </si>
  <si>
    <t>POSSIBLE POTASH AMENDMENTS</t>
  </si>
  <si>
    <t>Pounds of K20 fertilizer per acre (accounts for any K20 in your N&amp;P fertilizer selection)</t>
  </si>
  <si>
    <t xml:space="preserve">The chart below collects the fertilizer you selected on the other worksheets for a total volume and cost of ammending the area specified in Step 1. </t>
  </si>
  <si>
    <t>Fertilizer</t>
    <phoneticPr fontId="6" type="noConversion"/>
  </si>
  <si>
    <t>Pounds of fertilizer to add per acre</t>
  </si>
  <si>
    <t>Relative availability of fertilizer</t>
  </si>
  <si>
    <t>Estimated cost of fertilizer per acre</t>
  </si>
  <si>
    <t>Pounds of fertilizer for your field</t>
  </si>
  <si>
    <t xml:space="preserve">Estimated cost of fertilizer for your field </t>
  </si>
  <si>
    <t>N--&gt;</t>
  </si>
  <si>
    <t>P--&gt;</t>
  </si>
  <si>
    <t>K--&gt;</t>
  </si>
  <si>
    <t>Cost per acre</t>
  </si>
  <si>
    <t>TOTAL FERTILIZER COST for your field</t>
  </si>
  <si>
    <t xml:space="preserve">Instructions: The information below will autofill from the calculator. Once you complete the calculator for each field, click "Save Line" in the left hand column, and the information will be saved in the line below. You may then start the calculator again for your next field. </t>
  </si>
  <si>
    <t>click here to save line for each field:</t>
  </si>
  <si>
    <t>Field Name</t>
    <phoneticPr fontId="6" type="noConversion"/>
  </si>
  <si>
    <r>
      <t xml:space="preserve">Size </t>
    </r>
    <r>
      <rPr>
        <i/>
        <sz val="8"/>
        <rFont val="Verdana"/>
        <family val="2"/>
      </rPr>
      <t>(acre equivalents)</t>
    </r>
  </si>
  <si>
    <t>pH</t>
  </si>
  <si>
    <r>
      <t xml:space="preserve">Lime needed </t>
    </r>
    <r>
      <rPr>
        <i/>
        <sz val="8"/>
        <rFont val="Verdana"/>
        <family val="2"/>
      </rPr>
      <t>(tons per acre)</t>
    </r>
  </si>
  <si>
    <t xml:space="preserve">lb/ acre N </t>
  </si>
  <si>
    <t>N Amendment</t>
  </si>
  <si>
    <t>lb/ field N Amendment</t>
  </si>
  <si>
    <r>
      <t>lb/ acre P</t>
    </r>
    <r>
      <rPr>
        <b/>
        <vertAlign val="subscript"/>
        <sz val="9"/>
        <rFont val="Verdana"/>
        <family val="2"/>
      </rPr>
      <t>2</t>
    </r>
    <r>
      <rPr>
        <b/>
        <sz val="9"/>
        <rFont val="Verdana"/>
        <family val="2"/>
      </rPr>
      <t>0</t>
    </r>
    <r>
      <rPr>
        <b/>
        <vertAlign val="subscript"/>
        <sz val="9"/>
        <rFont val="Verdana"/>
        <family val="2"/>
      </rPr>
      <t>5</t>
    </r>
    <r>
      <rPr>
        <b/>
        <sz val="9"/>
        <rFont val="Verdana"/>
        <family val="2"/>
      </rPr>
      <t xml:space="preserve"> </t>
    </r>
  </si>
  <si>
    <r>
      <t>P</t>
    </r>
    <r>
      <rPr>
        <b/>
        <vertAlign val="subscript"/>
        <sz val="9"/>
        <rFont val="Verdana"/>
        <family val="2"/>
      </rPr>
      <t>2</t>
    </r>
    <r>
      <rPr>
        <b/>
        <sz val="9"/>
        <rFont val="Verdana"/>
        <family val="2"/>
      </rPr>
      <t>0</t>
    </r>
    <r>
      <rPr>
        <b/>
        <vertAlign val="subscript"/>
        <sz val="9"/>
        <rFont val="Verdana"/>
        <family val="2"/>
      </rPr>
      <t xml:space="preserve">5 </t>
    </r>
    <r>
      <rPr>
        <b/>
        <sz val="9"/>
        <rFont val="Verdana"/>
        <family val="2"/>
      </rPr>
      <t>Amendment</t>
    </r>
  </si>
  <si>
    <r>
      <t>lb/ field P</t>
    </r>
    <r>
      <rPr>
        <b/>
        <vertAlign val="subscript"/>
        <sz val="9"/>
        <rFont val="Verdana"/>
        <family val="2"/>
      </rPr>
      <t>2</t>
    </r>
    <r>
      <rPr>
        <b/>
        <sz val="9"/>
        <rFont val="Verdana"/>
        <family val="2"/>
      </rPr>
      <t>0</t>
    </r>
    <r>
      <rPr>
        <b/>
        <vertAlign val="subscript"/>
        <sz val="9"/>
        <rFont val="Verdana"/>
        <family val="2"/>
      </rPr>
      <t xml:space="preserve">5 </t>
    </r>
    <r>
      <rPr>
        <b/>
        <sz val="9"/>
        <rFont val="Verdana"/>
        <family val="2"/>
      </rPr>
      <t xml:space="preserve">Amendment </t>
    </r>
  </si>
  <si>
    <r>
      <t>Recommended lb/ field unit K</t>
    </r>
    <r>
      <rPr>
        <b/>
        <vertAlign val="subscript"/>
        <sz val="9"/>
        <rFont val="Verdana"/>
        <family val="2"/>
      </rPr>
      <t>2</t>
    </r>
    <r>
      <rPr>
        <b/>
        <sz val="9"/>
        <rFont val="Verdana"/>
        <family val="2"/>
      </rPr>
      <t xml:space="preserve">0 </t>
    </r>
  </si>
  <si>
    <r>
      <t>K</t>
    </r>
    <r>
      <rPr>
        <b/>
        <vertAlign val="subscript"/>
        <sz val="9"/>
        <rFont val="Verdana"/>
        <family val="2"/>
      </rPr>
      <t>2</t>
    </r>
    <r>
      <rPr>
        <b/>
        <sz val="9"/>
        <rFont val="Verdana"/>
        <family val="2"/>
      </rPr>
      <t>0 Amendment</t>
    </r>
  </si>
  <si>
    <r>
      <t>lb/ field K</t>
    </r>
    <r>
      <rPr>
        <b/>
        <vertAlign val="subscript"/>
        <sz val="9"/>
        <rFont val="Verdana"/>
        <family val="2"/>
      </rPr>
      <t>2</t>
    </r>
    <r>
      <rPr>
        <b/>
        <sz val="9"/>
        <rFont val="Verdana"/>
        <family val="2"/>
      </rPr>
      <t>0 Amendment</t>
    </r>
  </si>
  <si>
    <t>Estimated cost of Amendments per field</t>
  </si>
  <si>
    <r>
      <t xml:space="preserve"> Pounds </t>
    </r>
    <r>
      <rPr>
        <b/>
        <i/>
        <sz val="9"/>
        <rFont val="Verdana"/>
        <family val="2"/>
      </rPr>
      <t xml:space="preserve">Ca </t>
    </r>
    <r>
      <rPr>
        <i/>
        <sz val="9"/>
        <rFont val="Verdana"/>
        <family val="2"/>
      </rPr>
      <t>contributed by selected fertilizlers</t>
    </r>
  </si>
  <si>
    <r>
      <t xml:space="preserve">Pounds </t>
    </r>
    <r>
      <rPr>
        <b/>
        <i/>
        <sz val="9"/>
        <rFont val="Verdana"/>
        <family val="2"/>
      </rPr>
      <t xml:space="preserve">Mg </t>
    </r>
    <r>
      <rPr>
        <i/>
        <sz val="9"/>
        <rFont val="Verdana"/>
        <family val="2"/>
      </rPr>
      <t>contributed by selected fertilizlers</t>
    </r>
  </si>
  <si>
    <r>
      <t xml:space="preserve">Pounds </t>
    </r>
    <r>
      <rPr>
        <b/>
        <i/>
        <sz val="9"/>
        <rFont val="Verdana"/>
        <family val="2"/>
      </rPr>
      <t>S</t>
    </r>
    <r>
      <rPr>
        <i/>
        <sz val="9"/>
        <rFont val="Verdana"/>
        <family val="2"/>
      </rPr>
      <t xml:space="preserve"> contributed by selected fertilizlers</t>
    </r>
  </si>
  <si>
    <t>MATERIAL</t>
    <phoneticPr fontId="0" type="noConversion"/>
  </si>
  <si>
    <t>% N</t>
    <phoneticPr fontId="0" type="noConversion"/>
  </si>
  <si>
    <t>% P2O5</t>
  </si>
  <si>
    <t>% K20</t>
  </si>
  <si>
    <t>% Ca</t>
  </si>
  <si>
    <t>% Mg</t>
  </si>
  <si>
    <t>% S</t>
  </si>
  <si>
    <t>Release Rate</t>
    <phoneticPr fontId="0" type="noConversion"/>
  </si>
  <si>
    <t>Price per 50 lb</t>
  </si>
  <si>
    <t>$/lb N</t>
  </si>
  <si>
    <t>$/lb P</t>
  </si>
  <si>
    <t>$/lb K</t>
  </si>
  <si>
    <t>pricing source</t>
  </si>
  <si>
    <t>Alfalfa meal</t>
  </si>
  <si>
    <t>slow/ med</t>
  </si>
  <si>
    <t>Oliver</t>
  </si>
  <si>
    <t>Azomite</t>
  </si>
  <si>
    <t xml:space="preserve">Lawes </t>
  </si>
  <si>
    <t>Blood meal</t>
  </si>
  <si>
    <t>med/ rapid</t>
    <phoneticPr fontId="0" type="noConversion"/>
  </si>
  <si>
    <t>Bone meal, OG</t>
  </si>
  <si>
    <t>med</t>
    <phoneticPr fontId="0" type="noConversion"/>
  </si>
  <si>
    <t>Bone char</t>
  </si>
  <si>
    <t>rapid</t>
  </si>
  <si>
    <t>Calcitic limestone</t>
  </si>
  <si>
    <t>Chilean nitrate</t>
  </si>
  <si>
    <t>rapid</t>
    <phoneticPr fontId="0" type="noConversion"/>
  </si>
  <si>
    <t>Dehydrated Poultry Manure (Kreher's 5-4-3)</t>
  </si>
  <si>
    <t>Dehydrated Poultry Manure (Kreher's 4-3-10)</t>
  </si>
  <si>
    <t>Dehydrated Poultry Manure (Kreher's 7-2-6)</t>
  </si>
  <si>
    <t>Dehydrated Poultry Manure (Kreher's 8-2-2)</t>
  </si>
  <si>
    <t>Diammonium phosphate</t>
  </si>
  <si>
    <t>Dolomitic limestone</t>
  </si>
  <si>
    <t>Epsom salts (Mg sulfate)</t>
  </si>
  <si>
    <t>Feather meal</t>
    <phoneticPr fontId="0" type="noConversion"/>
  </si>
  <si>
    <t>Fish emulsion</t>
  </si>
  <si>
    <t>Fedco</t>
  </si>
  <si>
    <t>Fish meal</t>
  </si>
  <si>
    <t>Grioux's Composted Poultry Manure</t>
  </si>
  <si>
    <t>Giroux</t>
  </si>
  <si>
    <t>Granite dust</t>
    <phoneticPr fontId="0" type="noConversion"/>
  </si>
  <si>
    <t>very slow</t>
    <phoneticPr fontId="0" type="noConversion"/>
  </si>
  <si>
    <t>Greensand</t>
    <phoneticPr fontId="0" type="noConversion"/>
  </si>
  <si>
    <t>Gypsum</t>
    <phoneticPr fontId="0" type="noConversion"/>
  </si>
  <si>
    <t>K-mag</t>
  </si>
  <si>
    <t>Kelp meal</t>
  </si>
  <si>
    <t>Ag-Lime</t>
  </si>
  <si>
    <t>Lawes</t>
  </si>
  <si>
    <t>Makro 60</t>
  </si>
  <si>
    <t>Naturesafe</t>
  </si>
  <si>
    <t>Organo-Phos w. humic acid</t>
  </si>
  <si>
    <t>Peanut meal</t>
    <phoneticPr fontId="0" type="noConversion"/>
  </si>
  <si>
    <t>Potassium chloride</t>
  </si>
  <si>
    <t>Polysulfate</t>
  </si>
  <si>
    <t>Rock phosphate</t>
    <phoneticPr fontId="0" type="noConversion"/>
  </si>
  <si>
    <t>very slow</t>
  </si>
  <si>
    <t>Solubor</t>
  </si>
  <si>
    <t>20.5 % B</t>
  </si>
  <si>
    <t>Soybean meal</t>
  </si>
  <si>
    <t>slow/ med</t>
    <phoneticPr fontId="0" type="noConversion"/>
  </si>
  <si>
    <t>Depot</t>
  </si>
  <si>
    <t>SOP soluble</t>
  </si>
  <si>
    <t>Triple super phosphate</t>
    <phoneticPr fontId="0" type="noConversion"/>
  </si>
  <si>
    <t>Urea</t>
    <phoneticPr fontId="0" type="noConversion"/>
  </si>
  <si>
    <t>Sufur, elemental</t>
  </si>
  <si>
    <t>Blended fertilizers</t>
  </si>
  <si>
    <t>10-10-10</t>
  </si>
  <si>
    <t>Cheep Cheep</t>
  </si>
  <si>
    <t>Custom 6-0-6</t>
  </si>
  <si>
    <t>Pro-Start</t>
  </si>
  <si>
    <t>Pro-Booster</t>
  </si>
  <si>
    <t>Pro-Gro</t>
  </si>
  <si>
    <t>MATERIAL</t>
    <phoneticPr fontId="6" type="noConversion"/>
  </si>
  <si>
    <t>Price per 50 lb (2015)</t>
    <phoneticPr fontId="6" type="noConversion"/>
  </si>
  <si>
    <t>Price per pound of P</t>
    <phoneticPr fontId="6" type="noConversion"/>
  </si>
  <si>
    <t>Price per pound of K</t>
    <phoneticPr fontId="6" type="noConversion"/>
  </si>
  <si>
    <t>Bagged Amendments</t>
    <phoneticPr fontId="6" type="noConversion"/>
  </si>
  <si>
    <t>Alfalfa meal</t>
    <phoneticPr fontId="6" type="noConversion"/>
  </si>
  <si>
    <t>Slow/ med</t>
    <phoneticPr fontId="6" type="noConversion"/>
  </si>
  <si>
    <t>Ammonium Nitrate</t>
    <phoneticPr fontId="6" type="noConversion"/>
  </si>
  <si>
    <t>rapid</t>
    <phoneticPr fontId="6" type="noConversion"/>
  </si>
  <si>
    <t>Ammonium Sulfate</t>
    <phoneticPr fontId="6" type="noConversion"/>
  </si>
  <si>
    <t>Blood Meal</t>
    <phoneticPr fontId="6" type="noConversion"/>
  </si>
  <si>
    <t>med/ rapid</t>
    <phoneticPr fontId="6" type="noConversion"/>
  </si>
  <si>
    <t>Bone char</t>
    <phoneticPr fontId="6" type="noConversion"/>
  </si>
  <si>
    <t>Bone Meal</t>
    <phoneticPr fontId="6" type="noConversion"/>
  </si>
  <si>
    <t>Calcitic Limestone</t>
    <phoneticPr fontId="6" type="noConversion"/>
  </si>
  <si>
    <t>Calcium Nitrate</t>
    <phoneticPr fontId="6" type="noConversion"/>
  </si>
  <si>
    <t>Chilean Nitrate**</t>
    <phoneticPr fontId="6" type="noConversion"/>
  </si>
  <si>
    <t>Diammonium phosphate (DAP)</t>
    <phoneticPr fontId="6" type="noConversion"/>
  </si>
  <si>
    <t>Dolomitic Limestone</t>
    <phoneticPr fontId="6" type="noConversion"/>
  </si>
  <si>
    <t>Elemental Sulfur</t>
    <phoneticPr fontId="6" type="noConversion"/>
  </si>
  <si>
    <t>?</t>
    <phoneticPr fontId="6" type="noConversion"/>
  </si>
  <si>
    <t>Epsom Salts</t>
    <phoneticPr fontId="6" type="noConversion"/>
  </si>
  <si>
    <t>Feather meal</t>
    <phoneticPr fontId="6" type="noConversion"/>
  </si>
  <si>
    <t>Fish Emulsion</t>
    <phoneticPr fontId="6" type="noConversion"/>
  </si>
  <si>
    <t>Fish Meal</t>
    <phoneticPr fontId="6" type="noConversion"/>
  </si>
  <si>
    <t>Granite dust</t>
    <phoneticPr fontId="6" type="noConversion"/>
  </si>
  <si>
    <t>very slow</t>
    <phoneticPr fontId="6" type="noConversion"/>
  </si>
  <si>
    <t>Greensand</t>
    <phoneticPr fontId="6" type="noConversion"/>
  </si>
  <si>
    <t>Gypsum</t>
    <phoneticPr fontId="6" type="noConversion"/>
  </si>
  <si>
    <t>Peanut meal</t>
    <phoneticPr fontId="6" type="noConversion"/>
  </si>
  <si>
    <t>Pelletized chicken manure</t>
    <phoneticPr fontId="6" type="noConversion"/>
  </si>
  <si>
    <t>Potassium Choloride</t>
    <phoneticPr fontId="6" type="noConversion"/>
  </si>
  <si>
    <t>=</t>
    <phoneticPr fontId="6" type="noConversion"/>
  </si>
  <si>
    <t>Potassium Nitrate</t>
    <phoneticPr fontId="6" type="noConversion"/>
  </si>
  <si>
    <t>Potassium Sulfate</t>
    <phoneticPr fontId="6" type="noConversion"/>
  </si>
  <si>
    <t>Pro start</t>
    <phoneticPr fontId="6" type="noConversion"/>
  </si>
  <si>
    <t>Probooster</t>
    <phoneticPr fontId="6" type="noConversion"/>
  </si>
  <si>
    <t>Progro</t>
    <phoneticPr fontId="6" type="noConversion"/>
  </si>
  <si>
    <t>Rock phosphate</t>
    <phoneticPr fontId="6" type="noConversion"/>
  </si>
  <si>
    <t>30%***</t>
    <phoneticPr fontId="6" type="noConversion"/>
  </si>
  <si>
    <t>Sol-po-mag</t>
    <phoneticPr fontId="6" type="noConversion"/>
  </si>
  <si>
    <t>Soymeal</t>
    <phoneticPr fontId="6" type="noConversion"/>
  </si>
  <si>
    <t>slow/ med</t>
    <phoneticPr fontId="6" type="noConversion"/>
  </si>
  <si>
    <t>Super phosphate</t>
    <phoneticPr fontId="6" type="noConversion"/>
  </si>
  <si>
    <t>Triple superphosphate</t>
    <phoneticPr fontId="6" type="noConversion"/>
  </si>
  <si>
    <t>Urea</t>
    <phoneticPr fontId="6" type="noConversion"/>
  </si>
  <si>
    <t>Blended Fertilizers</t>
    <phoneticPr fontId="6" type="noConversion"/>
  </si>
  <si>
    <t>Cheep cheep</t>
    <phoneticPr fontId="6" type="noConversion"/>
  </si>
  <si>
    <t>Custom 5-5-5</t>
    <phoneticPr fontId="6" type="noConversion"/>
  </si>
  <si>
    <t>custom 6-0-6</t>
    <phoneticPr fontId="6" type="noConversion"/>
  </si>
  <si>
    <t>Bulk Materials</t>
    <phoneticPr fontId="6" type="noConversion"/>
  </si>
  <si>
    <t>Compost (mature)</t>
    <phoneticPr fontId="6" type="noConversion"/>
  </si>
  <si>
    <t>Manure (fresh)</t>
    <phoneticPr fontId="6" type="noConversion"/>
  </si>
  <si>
    <t>Dairy</t>
    <phoneticPr fontId="6" type="noConversion"/>
  </si>
  <si>
    <t>Horse</t>
    <phoneticPr fontId="6" type="noConversion"/>
  </si>
  <si>
    <t>Sheep</t>
    <phoneticPr fontId="6" type="noConversion"/>
  </si>
  <si>
    <t>**No more than 20% of a crop's annual N needs can be supplied by Chilean nitrate according to the NOP</t>
    <phoneticPr fontId="6" type="noConversion"/>
  </si>
  <si>
    <t>***about 2% available</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</si>
</sst>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quot;$&quot;#,##0"/>
    <numFmt numFmtId="165" formatCode="&quot;$&quot;#,##0.00"/>
    <numFmt numFmtId="166" formatCode="0.0"/>
    <numFmt numFmtId="167" formatCode="0.0%"/>
    <numFmt numFmtId="168" formatCode="#,##0;&quot;0&quot;"/>
    <numFmt numFmtId="169" formatCode="&quot;$&quot;#,##0;&quot;0&quot;"/>
    <numFmt numFmtId="170" formatCode="0.0000"/>
  </numFmts>
  <fonts count="51" x14ac:knownFonts="1">
    <font>
      <sz val="10"/>
      <name val="Verdana"/>
    </font>
    <font>
      <sz val="11"/>
      <color theme="1"/>
      <name val="Calibri"/>
      <family val="2"/>
      <scheme val="minor"/>
    </font>
    <font>
      <sz val="11"/>
      <color theme="1"/>
      <name val="Calibri"/>
      <family val="2"/>
      <scheme val="minor"/>
    </font>
    <font>
      <b/>
      <sz val="10"/>
      <name val="Verdana"/>
      <family val="2"/>
    </font>
    <font>
      <i/>
      <sz val="10"/>
      <name val="Verdana"/>
      <family val="2"/>
    </font>
    <font>
      <sz val="10"/>
      <name val="Verdana"/>
      <family val="2"/>
    </font>
    <font>
      <sz val="8"/>
      <name val="Verdana"/>
      <family val="2"/>
    </font>
    <font>
      <i/>
      <sz val="10"/>
      <color indexed="10"/>
      <name val="Arial"/>
      <family val="2"/>
    </font>
    <font>
      <b/>
      <sz val="10"/>
      <color indexed="8"/>
      <name val="Verdana"/>
      <family val="2"/>
    </font>
    <font>
      <sz val="14"/>
      <name val="Verdana"/>
      <family val="2"/>
    </font>
    <font>
      <b/>
      <sz val="12"/>
      <name val="Verdana"/>
      <family val="2"/>
    </font>
    <font>
      <sz val="12"/>
      <name val="Verdana"/>
      <family val="2"/>
    </font>
    <font>
      <i/>
      <sz val="12"/>
      <name val="Verdana"/>
      <family val="2"/>
    </font>
    <font>
      <b/>
      <i/>
      <sz val="14"/>
      <name val="Verdana"/>
      <family val="2"/>
    </font>
    <font>
      <b/>
      <sz val="11"/>
      <name val="Verdana"/>
      <family val="2"/>
    </font>
    <font>
      <sz val="11"/>
      <name val="Verdana"/>
      <family val="2"/>
    </font>
    <font>
      <i/>
      <sz val="10"/>
      <color indexed="57"/>
      <name val="Verdana"/>
      <family val="2"/>
    </font>
    <font>
      <b/>
      <i/>
      <sz val="12"/>
      <name val="Verdana"/>
      <family val="2"/>
    </font>
    <font>
      <sz val="10"/>
      <name val="Arial"/>
      <family val="2"/>
    </font>
    <font>
      <sz val="11"/>
      <name val="Calibri"/>
      <family val="2"/>
    </font>
    <font>
      <b/>
      <sz val="11"/>
      <color indexed="8"/>
      <name val="Calibri"/>
      <family val="2"/>
    </font>
    <font>
      <u/>
      <sz val="10"/>
      <color indexed="12"/>
      <name val="Verdana"/>
      <family val="2"/>
    </font>
    <font>
      <u/>
      <sz val="10"/>
      <color indexed="20"/>
      <name val="Verdana"/>
      <family val="2"/>
    </font>
    <font>
      <u/>
      <sz val="10"/>
      <color theme="10"/>
      <name val="Verdana"/>
      <family val="2"/>
    </font>
    <font>
      <u/>
      <sz val="10"/>
      <color theme="11"/>
      <name val="Verdana"/>
      <family val="2"/>
    </font>
    <font>
      <sz val="10"/>
      <color rgb="FFFF0000"/>
      <name val="Verdana"/>
      <family val="2"/>
    </font>
    <font>
      <b/>
      <sz val="12"/>
      <color rgb="FFFF0000"/>
      <name val="Verdana"/>
      <family val="2"/>
    </font>
    <font>
      <sz val="10"/>
      <color theme="5" tint="-0.249977111117893"/>
      <name val="Verdana"/>
      <family val="2"/>
    </font>
    <font>
      <b/>
      <sz val="11"/>
      <color theme="1"/>
      <name val="Calibri"/>
      <family val="2"/>
      <scheme val="minor"/>
    </font>
    <font>
      <b/>
      <sz val="12"/>
      <color theme="1"/>
      <name val="Calibri"/>
      <family val="2"/>
      <scheme val="minor"/>
    </font>
    <font>
      <i/>
      <sz val="10"/>
      <color rgb="FF7030A0"/>
      <name val="Verdana"/>
      <family val="2"/>
    </font>
    <font>
      <sz val="12"/>
      <color rgb="FFFF0000"/>
      <name val="Verdana"/>
      <family val="2"/>
    </font>
    <font>
      <b/>
      <i/>
      <sz val="12"/>
      <color rgb="FFFF0000"/>
      <name val="Verdana"/>
      <family val="2"/>
    </font>
    <font>
      <b/>
      <sz val="10"/>
      <color rgb="FFFF0000"/>
      <name val="Verdana"/>
      <family val="2"/>
    </font>
    <font>
      <b/>
      <i/>
      <sz val="10"/>
      <color indexed="10"/>
      <name val="Verdana"/>
      <family val="2"/>
    </font>
    <font>
      <i/>
      <sz val="9"/>
      <name val="Verdana"/>
      <family val="2"/>
    </font>
    <font>
      <b/>
      <i/>
      <sz val="9"/>
      <name val="Verdana"/>
      <family val="2"/>
    </font>
    <font>
      <b/>
      <sz val="9"/>
      <name val="Verdana"/>
      <family val="2"/>
    </font>
    <font>
      <i/>
      <sz val="8"/>
      <name val="Verdana"/>
      <family val="2"/>
    </font>
    <font>
      <sz val="9"/>
      <color indexed="81"/>
      <name val="Tahoma"/>
      <family val="2"/>
    </font>
    <font>
      <b/>
      <vertAlign val="subscript"/>
      <sz val="9"/>
      <name val="Verdana"/>
      <family val="2"/>
    </font>
    <font>
      <i/>
      <sz val="11"/>
      <name val="Verdana"/>
      <family val="2"/>
    </font>
    <font>
      <b/>
      <sz val="14"/>
      <name val="Verdana"/>
      <family val="2"/>
    </font>
    <font>
      <sz val="10"/>
      <name val="Verdana"/>
      <family val="2"/>
    </font>
    <font>
      <sz val="8"/>
      <name val="Arial"/>
      <family val="2"/>
    </font>
    <font>
      <sz val="8"/>
      <color theme="1"/>
      <name val="Arial"/>
      <family val="2"/>
    </font>
    <font>
      <sz val="8"/>
      <color rgb="FF000000"/>
      <name val="Arial"/>
      <family val="2"/>
    </font>
    <font>
      <b/>
      <sz val="8"/>
      <color rgb="FF000000"/>
      <name val="Arial"/>
      <family val="2"/>
    </font>
    <font>
      <sz val="11"/>
      <color rgb="FF000000"/>
      <name val="Calibri"/>
      <family val="2"/>
    </font>
    <font>
      <sz val="12"/>
      <color theme="1"/>
      <name val="Calibri"/>
      <family val="2"/>
      <scheme val="minor"/>
    </font>
    <font>
      <sz val="10"/>
      <color rgb="FF000000"/>
      <name val="Verdana"/>
      <family val="2"/>
    </font>
  </fonts>
  <fills count="42">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51"/>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9" tint="0.39997558519241921"/>
        <bgColor indexed="64"/>
      </patternFill>
    </fill>
    <fill>
      <patternFill patternType="solid">
        <fgColor indexed="22"/>
        <bgColor indexed="22"/>
      </patternFill>
    </fill>
    <fill>
      <patternFill patternType="lightDown">
        <fgColor indexed="8"/>
      </patternFill>
    </fill>
    <fill>
      <patternFill patternType="solid">
        <fgColor rgb="FFFFFF00"/>
        <bgColor indexed="64"/>
      </patternFill>
    </fill>
    <fill>
      <patternFill patternType="solid">
        <fgColor theme="0"/>
        <bgColor indexed="64"/>
      </patternFill>
    </fill>
    <fill>
      <patternFill patternType="lightDown"/>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22"/>
      </patternFill>
    </fill>
    <fill>
      <patternFill patternType="solid">
        <fgColor theme="8" tint="0.79998168889431442"/>
        <bgColor indexed="65"/>
      </patternFill>
    </fill>
    <fill>
      <patternFill patternType="solid">
        <fgColor theme="9" tint="0.79998168889431442"/>
        <bgColor indexed="65"/>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lightDown">
        <fgColor indexed="8"/>
        <bgColor indexed="9"/>
      </patternFill>
    </fill>
    <fill>
      <patternFill patternType="gray0625">
        <fgColor indexed="8"/>
        <bgColor theme="9" tint="0.79998168889431442"/>
      </patternFill>
    </fill>
    <fill>
      <patternFill patternType="solid">
        <fgColor theme="0" tint="-4.9989318521683403E-2"/>
        <bgColor indexed="64"/>
      </patternFill>
    </fill>
    <fill>
      <patternFill patternType="solid">
        <fgColor rgb="FFFFFFCC"/>
        <bgColor indexed="64"/>
      </patternFill>
    </fill>
    <fill>
      <patternFill patternType="solid">
        <fgColor theme="9"/>
        <bgColor indexed="64"/>
      </patternFill>
    </fill>
    <fill>
      <patternFill patternType="solid">
        <fgColor theme="9" tint="-0.249977111117893"/>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theme="9" tint="-0.24994659260841701"/>
        <bgColor indexed="64"/>
      </patternFill>
    </fill>
    <fill>
      <patternFill patternType="solid">
        <fgColor theme="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0C0C0"/>
        <bgColor rgb="FFC0C0C0"/>
      </patternFill>
    </fill>
    <fill>
      <patternFill patternType="solid">
        <fgColor theme="7" tint="0.59999389629810485"/>
        <bgColor indexed="64"/>
      </patternFill>
    </fill>
  </fills>
  <borders count="3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s>
  <cellStyleXfs count="82">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5" fillId="0" borderId="0"/>
    <xf numFmtId="0" fontId="2" fillId="19" borderId="0" applyNumberFormat="0" applyBorder="0" applyAlignment="0" applyProtection="0"/>
    <xf numFmtId="0" fontId="2" fillId="20" borderId="0" applyNumberFormat="0" applyBorder="0" applyAlignment="0" applyProtection="0"/>
    <xf numFmtId="0" fontId="2" fillId="0" borderId="0"/>
    <xf numFmtId="0" fontId="1" fillId="19" borderId="0" applyNumberFormat="0" applyBorder="0" applyAlignment="0" applyProtection="0"/>
    <xf numFmtId="0" fontId="1" fillId="20" borderId="0" applyNumberFormat="0" applyBorder="0" applyAlignment="0" applyProtection="0"/>
    <xf numFmtId="0" fontId="1" fillId="0" borderId="0"/>
    <xf numFmtId="44" fontId="43" fillId="0" borderId="0" applyFont="0" applyFill="0" applyBorder="0" applyAlignment="0" applyProtection="0"/>
    <xf numFmtId="9" fontId="43" fillId="0" borderId="0" applyFont="0" applyFill="0" applyBorder="0" applyAlignment="0" applyProtection="0"/>
  </cellStyleXfs>
  <cellXfs count="401">
    <xf numFmtId="0" fontId="0" fillId="0" borderId="0" xfId="0"/>
    <xf numFmtId="0" fontId="0" fillId="0" borderId="0" xfId="0" applyAlignment="1">
      <alignment wrapText="1"/>
    </xf>
    <xf numFmtId="9" fontId="0" fillId="0" borderId="0" xfId="0" applyNumberFormat="1"/>
    <xf numFmtId="0" fontId="0" fillId="3" borderId="0" xfId="0" applyFill="1"/>
    <xf numFmtId="49" fontId="0" fillId="0" borderId="0" xfId="0" applyNumberFormat="1" applyAlignment="1">
      <alignment horizontal="center" wrapText="1"/>
    </xf>
    <xf numFmtId="0" fontId="0" fillId="0" borderId="4" xfId="0" applyBorder="1" applyAlignment="1">
      <alignment horizontal="center" wrapText="1"/>
    </xf>
    <xf numFmtId="0" fontId="0" fillId="0" borderId="0" xfId="0" applyAlignment="1">
      <alignment horizontal="center"/>
    </xf>
    <xf numFmtId="0" fontId="0" fillId="0" borderId="5" xfId="0" applyBorder="1" applyAlignment="1">
      <alignment horizontal="center"/>
    </xf>
    <xf numFmtId="49" fontId="0" fillId="0" borderId="4" xfId="0" applyNumberFormat="1" applyBorder="1" applyAlignment="1">
      <alignment horizontal="center" wrapText="1"/>
    </xf>
    <xf numFmtId="49" fontId="0" fillId="0" borderId="9" xfId="0" applyNumberFormat="1" applyBorder="1" applyAlignment="1">
      <alignment horizontal="center" wrapText="1"/>
    </xf>
    <xf numFmtId="0" fontId="0" fillId="0" borderId="10" xfId="0" applyBorder="1" applyAlignment="1">
      <alignment horizontal="center"/>
    </xf>
    <xf numFmtId="0" fontId="0" fillId="0" borderId="11" xfId="0" applyBorder="1" applyAlignment="1">
      <alignment horizontal="center"/>
    </xf>
    <xf numFmtId="166" fontId="0" fillId="7" borderId="0" xfId="0" applyNumberFormat="1" applyFill="1"/>
    <xf numFmtId="0" fontId="0" fillId="7" borderId="0" xfId="0" applyFill="1"/>
    <xf numFmtId="165" fontId="0" fillId="0" borderId="0" xfId="0" applyNumberFormat="1"/>
    <xf numFmtId="164" fontId="0" fillId="0" borderId="0" xfId="0" applyNumberFormat="1"/>
    <xf numFmtId="0" fontId="0" fillId="4" borderId="0" xfId="0" applyFill="1" applyAlignment="1">
      <alignment wrapText="1"/>
    </xf>
    <xf numFmtId="9" fontId="0" fillId="0" borderId="0" xfId="0" applyNumberFormat="1" applyAlignment="1">
      <alignment wrapText="1"/>
    </xf>
    <xf numFmtId="0" fontId="0" fillId="3" borderId="0" xfId="0" applyFill="1" applyAlignment="1">
      <alignment wrapText="1"/>
    </xf>
    <xf numFmtId="9" fontId="0" fillId="6" borderId="0" xfId="0" applyNumberFormat="1" applyFill="1"/>
    <xf numFmtId="9" fontId="0" fillId="3" borderId="0" xfId="0" applyNumberFormat="1" applyFill="1"/>
    <xf numFmtId="165" fontId="0" fillId="3" borderId="0" xfId="0" applyNumberFormat="1" applyFill="1"/>
    <xf numFmtId="165" fontId="0" fillId="6" borderId="0" xfId="0" applyNumberFormat="1" applyFill="1"/>
    <xf numFmtId="0" fontId="0" fillId="0" borderId="2" xfId="0" applyBorder="1" applyAlignment="1">
      <alignment wrapText="1"/>
    </xf>
    <xf numFmtId="1" fontId="0" fillId="0" borderId="0" xfId="0" applyNumberFormat="1"/>
    <xf numFmtId="166" fontId="0" fillId="0" borderId="0" xfId="0" applyNumberFormat="1"/>
    <xf numFmtId="0" fontId="0" fillId="0" borderId="2" xfId="0" applyBorder="1" applyAlignment="1">
      <alignment horizontal="center" wrapText="1"/>
    </xf>
    <xf numFmtId="165" fontId="0" fillId="0" borderId="0" xfId="0" applyNumberFormat="1" applyAlignment="1">
      <alignment wrapText="1"/>
    </xf>
    <xf numFmtId="164" fontId="0" fillId="0" borderId="0" xfId="0" applyNumberFormat="1" applyAlignment="1">
      <alignment wrapText="1"/>
    </xf>
    <xf numFmtId="164" fontId="0" fillId="0" borderId="0" xfId="0" applyNumberFormat="1" applyAlignment="1">
      <alignment horizontal="right" wrapText="1"/>
    </xf>
    <xf numFmtId="4" fontId="0" fillId="0" borderId="0" xfId="0" applyNumberFormat="1"/>
    <xf numFmtId="4" fontId="0" fillId="0" borderId="0" xfId="0" applyNumberFormat="1" applyAlignment="1">
      <alignment wrapText="1"/>
    </xf>
    <xf numFmtId="4" fontId="0" fillId="3" borderId="0" xfId="0" applyNumberFormat="1" applyFill="1" applyAlignment="1">
      <alignment wrapText="1"/>
    </xf>
    <xf numFmtId="167" fontId="0" fillId="0" borderId="0" xfId="0" applyNumberFormat="1"/>
    <xf numFmtId="0" fontId="10" fillId="0" borderId="0" xfId="0" applyFont="1" applyAlignment="1">
      <alignment horizontal="center" vertical="center" wrapText="1"/>
    </xf>
    <xf numFmtId="0" fontId="0" fillId="0" borderId="0" xfId="0" applyAlignment="1">
      <alignment horizontal="center" vertical="center"/>
    </xf>
    <xf numFmtId="0" fontId="11" fillId="0" borderId="0" xfId="0" applyFont="1"/>
    <xf numFmtId="0" fontId="11" fillId="0" borderId="15" xfId="0" applyFont="1" applyBorder="1"/>
    <xf numFmtId="0" fontId="11" fillId="0" borderId="14" xfId="0" applyFont="1" applyBorder="1"/>
    <xf numFmtId="0" fontId="0" fillId="0" borderId="0" xfId="0" applyAlignment="1">
      <alignment horizontal="center" vertical="center" wrapText="1"/>
    </xf>
    <xf numFmtId="0" fontId="11" fillId="0" borderId="0" xfId="0" applyFont="1" applyAlignment="1">
      <alignment wrapText="1"/>
    </xf>
    <xf numFmtId="49" fontId="11" fillId="0" borderId="0" xfId="0" applyNumberFormat="1" applyFont="1"/>
    <xf numFmtId="9" fontId="11" fillId="0" borderId="0" xfId="0" applyNumberFormat="1" applyFont="1"/>
    <xf numFmtId="0" fontId="18" fillId="0" borderId="0" xfId="0" applyFont="1" applyAlignment="1">
      <alignment wrapText="1"/>
    </xf>
    <xf numFmtId="0" fontId="9" fillId="0" borderId="0" xfId="0" applyFont="1"/>
    <xf numFmtId="0" fontId="9" fillId="0" borderId="0" xfId="0" applyFont="1" applyAlignment="1">
      <alignment horizontal="right"/>
    </xf>
    <xf numFmtId="0" fontId="13" fillId="0" borderId="0" xfId="0" applyFont="1"/>
    <xf numFmtId="0" fontId="19" fillId="0" borderId="0" xfId="0" applyFont="1"/>
    <xf numFmtId="0" fontId="8" fillId="0" borderId="3" xfId="0" applyFont="1" applyBorder="1" applyAlignment="1" applyProtection="1">
      <alignment horizontal="center" vertical="center" wrapText="1"/>
      <protection locked="0" hidden="1"/>
    </xf>
    <xf numFmtId="0" fontId="0" fillId="0" borderId="0" xfId="0" applyAlignment="1">
      <alignment horizontal="center" wrapText="1"/>
    </xf>
    <xf numFmtId="165" fontId="11" fillId="0" borderId="21" xfId="0" applyNumberFormat="1" applyFont="1" applyBorder="1" applyAlignment="1">
      <alignment horizontal="center"/>
    </xf>
    <xf numFmtId="0" fontId="7" fillId="0" borderId="0" xfId="0" applyFont="1" applyAlignment="1">
      <alignment wrapText="1"/>
    </xf>
    <xf numFmtId="0" fontId="25" fillId="0" borderId="0" xfId="0" applyFont="1"/>
    <xf numFmtId="9" fontId="15" fillId="0" borderId="0" xfId="0" applyNumberFormat="1" applyFont="1" applyAlignment="1">
      <alignment horizontal="center"/>
    </xf>
    <xf numFmtId="0" fontId="15" fillId="0" borderId="0" xfId="0" applyFont="1" applyAlignment="1">
      <alignment horizontal="center"/>
    </xf>
    <xf numFmtId="165" fontId="15" fillId="0" borderId="0" xfId="0" applyNumberFormat="1" applyFont="1" applyAlignment="1">
      <alignment horizontal="center"/>
    </xf>
    <xf numFmtId="0" fontId="15" fillId="14" borderId="0" xfId="0" applyFont="1" applyFill="1" applyAlignment="1">
      <alignment wrapText="1"/>
    </xf>
    <xf numFmtId="0" fontId="15" fillId="13" borderId="0" xfId="0" applyFont="1" applyFill="1" applyAlignment="1">
      <alignment wrapText="1"/>
    </xf>
    <xf numFmtId="4" fontId="0" fillId="14" borderId="0" xfId="0" applyNumberFormat="1" applyFill="1" applyAlignment="1">
      <alignment wrapText="1"/>
    </xf>
    <xf numFmtId="9" fontId="0" fillId="14" borderId="0" xfId="0" applyNumberFormat="1" applyFill="1" applyAlignment="1">
      <alignment wrapText="1"/>
    </xf>
    <xf numFmtId="165" fontId="11" fillId="15" borderId="21" xfId="0" applyNumberFormat="1" applyFont="1" applyFill="1" applyBorder="1" applyAlignment="1">
      <alignment horizontal="center"/>
    </xf>
    <xf numFmtId="0" fontId="20" fillId="11" borderId="3" xfId="0" applyFont="1" applyFill="1" applyBorder="1" applyAlignment="1">
      <alignment horizontal="center" vertical="center" wrapText="1"/>
    </xf>
    <xf numFmtId="0" fontId="20" fillId="18" borderId="0" xfId="0" applyFont="1" applyFill="1" applyAlignment="1">
      <alignment horizontal="center" vertical="center" wrapText="1"/>
    </xf>
    <xf numFmtId="0" fontId="0" fillId="14" borderId="0" xfId="0" applyFill="1"/>
    <xf numFmtId="165" fontId="11" fillId="0" borderId="22" xfId="0" applyNumberFormat="1" applyFont="1" applyBorder="1" applyAlignment="1">
      <alignment horizontal="center"/>
    </xf>
    <xf numFmtId="0" fontId="27" fillId="0" borderId="6" xfId="0" applyFont="1" applyBorder="1" applyAlignment="1">
      <alignment horizontal="center" wrapText="1"/>
    </xf>
    <xf numFmtId="0" fontId="27" fillId="0" borderId="7" xfId="0" applyFont="1" applyBorder="1" applyAlignment="1">
      <alignment horizontal="center" wrapText="1"/>
    </xf>
    <xf numFmtId="0" fontId="27" fillId="0" borderId="8" xfId="0" applyFont="1" applyBorder="1" applyAlignment="1">
      <alignment horizontal="center" wrapText="1"/>
    </xf>
    <xf numFmtId="0" fontId="3" fillId="0" borderId="0" xfId="73" applyFont="1" applyAlignment="1">
      <alignment horizontal="center" vertical="center" wrapText="1"/>
    </xf>
    <xf numFmtId="9" fontId="11" fillId="0" borderId="23" xfId="73" applyNumberFormat="1" applyFont="1" applyBorder="1" applyAlignment="1">
      <alignment horizontal="center"/>
    </xf>
    <xf numFmtId="167" fontId="11" fillId="0" borderId="23" xfId="73" applyNumberFormat="1" applyFont="1" applyBorder="1" applyAlignment="1">
      <alignment horizontal="center"/>
    </xf>
    <xf numFmtId="0" fontId="11" fillId="0" borderId="23" xfId="73" applyFont="1" applyBorder="1" applyAlignment="1">
      <alignment horizontal="center"/>
    </xf>
    <xf numFmtId="165" fontId="11" fillId="0" borderId="23" xfId="73" applyNumberFormat="1" applyFont="1" applyBorder="1" applyAlignment="1">
      <alignment horizontal="center"/>
    </xf>
    <xf numFmtId="165" fontId="11" fillId="0" borderId="23" xfId="73" applyNumberFormat="1" applyFont="1" applyBorder="1"/>
    <xf numFmtId="0" fontId="5" fillId="0" borderId="0" xfId="73" applyAlignment="1">
      <alignment wrapText="1"/>
    </xf>
    <xf numFmtId="0" fontId="11" fillId="0" borderId="23" xfId="73" applyFont="1" applyBorder="1" applyAlignment="1">
      <alignment horizontal="center" wrapText="1"/>
    </xf>
    <xf numFmtId="0" fontId="5" fillId="0" borderId="0" xfId="73"/>
    <xf numFmtId="165" fontId="5" fillId="0" borderId="0" xfId="73" applyNumberFormat="1"/>
    <xf numFmtId="165" fontId="11" fillId="0" borderId="0" xfId="73" applyNumberFormat="1" applyFont="1"/>
    <xf numFmtId="9" fontId="5" fillId="0" borderId="0" xfId="73" applyNumberFormat="1"/>
    <xf numFmtId="0" fontId="28" fillId="19" borderId="0" xfId="74" applyFont="1" applyBorder="1" applyAlignment="1">
      <alignment horizontal="center" vertical="center" wrapText="1"/>
    </xf>
    <xf numFmtId="9" fontId="29" fillId="20" borderId="0" xfId="75" applyNumberFormat="1" applyFont="1" applyBorder="1" applyAlignment="1">
      <alignment horizontal="center" vertical="center" wrapText="1"/>
    </xf>
    <xf numFmtId="165" fontId="29" fillId="20" borderId="0" xfId="75" applyNumberFormat="1" applyFont="1" applyBorder="1" applyAlignment="1">
      <alignment horizontal="center" vertical="center" wrapText="1"/>
    </xf>
    <xf numFmtId="0" fontId="11" fillId="7" borderId="23" xfId="73" applyFont="1" applyFill="1" applyBorder="1" applyAlignment="1">
      <alignment horizontal="center" wrapText="1"/>
    </xf>
    <xf numFmtId="0" fontId="11" fillId="21" borderId="23" xfId="73" applyFont="1" applyFill="1" applyBorder="1" applyAlignment="1">
      <alignment horizontal="center" wrapText="1"/>
    </xf>
    <xf numFmtId="0" fontId="11" fillId="14" borderId="23" xfId="73" applyFont="1" applyFill="1" applyBorder="1" applyAlignment="1">
      <alignment horizontal="center" wrapText="1"/>
    </xf>
    <xf numFmtId="9" fontId="0" fillId="3" borderId="0" xfId="0" applyNumberFormat="1" applyFill="1" applyAlignment="1">
      <alignment wrapText="1"/>
    </xf>
    <xf numFmtId="165" fontId="0" fillId="3" borderId="0" xfId="0" applyNumberFormat="1" applyFill="1" applyAlignment="1">
      <alignment wrapText="1"/>
    </xf>
    <xf numFmtId="9" fontId="11" fillId="0" borderId="0" xfId="0" applyNumberFormat="1" applyFont="1" applyAlignment="1">
      <alignment horizontal="center"/>
    </xf>
    <xf numFmtId="0" fontId="11" fillId="0" borderId="0" xfId="0" applyFont="1" applyAlignment="1">
      <alignment horizontal="center"/>
    </xf>
    <xf numFmtId="165" fontId="11" fillId="0" borderId="0" xfId="0" applyNumberFormat="1" applyFont="1" applyAlignment="1">
      <alignment horizontal="center"/>
    </xf>
    <xf numFmtId="165" fontId="0" fillId="0" borderId="0" xfId="0" applyNumberFormat="1" applyAlignment="1">
      <alignment horizontal="center"/>
    </xf>
    <xf numFmtId="9" fontId="0" fillId="0" borderId="0" xfId="0" applyNumberFormat="1" applyAlignment="1">
      <alignment horizontal="center"/>
    </xf>
    <xf numFmtId="164" fontId="11" fillId="0" borderId="0" xfId="0" applyNumberFormat="1" applyFont="1" applyAlignment="1">
      <alignment horizontal="center"/>
    </xf>
    <xf numFmtId="9" fontId="0" fillId="0" borderId="4" xfId="0" applyNumberFormat="1" applyBorder="1"/>
    <xf numFmtId="165" fontId="0" fillId="14" borderId="0" xfId="0" applyNumberFormat="1" applyFill="1" applyAlignment="1">
      <alignment wrapText="1"/>
    </xf>
    <xf numFmtId="0" fontId="0" fillId="0" borderId="18" xfId="0" applyBorder="1" applyAlignment="1">
      <alignment wrapText="1"/>
    </xf>
    <xf numFmtId="0" fontId="0" fillId="0" borderId="19" xfId="0" applyBorder="1" applyAlignment="1">
      <alignment wrapText="1"/>
    </xf>
    <xf numFmtId="0" fontId="0" fillId="0" borderId="15" xfId="0" applyBorder="1"/>
    <xf numFmtId="166" fontId="11" fillId="2" borderId="15" xfId="0" applyNumberFormat="1" applyFont="1" applyFill="1" applyBorder="1"/>
    <xf numFmtId="166" fontId="11" fillId="0" borderId="15" xfId="0" applyNumberFormat="1" applyFont="1" applyBorder="1"/>
    <xf numFmtId="0" fontId="32" fillId="9" borderId="14" xfId="0" applyFont="1" applyFill="1" applyBorder="1" applyAlignment="1">
      <alignment horizontal="center"/>
    </xf>
    <xf numFmtId="0" fontId="11" fillId="26" borderId="14" xfId="0" applyFont="1" applyFill="1" applyBorder="1"/>
    <xf numFmtId="49" fontId="11" fillId="26" borderId="0" xfId="0" applyNumberFormat="1" applyFont="1" applyFill="1"/>
    <xf numFmtId="9" fontId="11" fillId="26" borderId="0" xfId="0" applyNumberFormat="1" applyFont="1" applyFill="1"/>
    <xf numFmtId="9" fontId="11" fillId="26" borderId="17" xfId="0" applyNumberFormat="1" applyFont="1" applyFill="1" applyBorder="1"/>
    <xf numFmtId="166" fontId="11" fillId="2" borderId="12" xfId="0" applyNumberFormat="1" applyFont="1" applyFill="1" applyBorder="1"/>
    <xf numFmtId="166" fontId="10" fillId="14" borderId="19" xfId="0" applyNumberFormat="1" applyFont="1" applyFill="1" applyBorder="1"/>
    <xf numFmtId="166" fontId="11" fillId="14" borderId="13" xfId="0" applyNumberFormat="1" applyFont="1" applyFill="1" applyBorder="1"/>
    <xf numFmtId="0" fontId="11" fillId="22" borderId="0" xfId="0" applyFont="1" applyFill="1" applyAlignment="1">
      <alignment wrapText="1"/>
    </xf>
    <xf numFmtId="0" fontId="11" fillId="22" borderId="0" xfId="0" applyFont="1" applyFill="1"/>
    <xf numFmtId="0" fontId="0" fillId="0" borderId="14" xfId="0" applyBorder="1"/>
    <xf numFmtId="0" fontId="5" fillId="13" borderId="15" xfId="0" applyFont="1" applyFill="1" applyBorder="1" applyAlignment="1">
      <alignment wrapText="1"/>
    </xf>
    <xf numFmtId="0" fontId="9" fillId="14" borderId="0" xfId="0" applyFont="1" applyFill="1" applyAlignment="1">
      <alignment horizontal="right"/>
    </xf>
    <xf numFmtId="0" fontId="26" fillId="16" borderId="24" xfId="0" applyFont="1" applyFill="1" applyBorder="1" applyAlignment="1">
      <alignment wrapText="1"/>
    </xf>
    <xf numFmtId="0" fontId="0" fillId="8" borderId="25" xfId="0" applyFill="1" applyBorder="1"/>
    <xf numFmtId="0" fontId="33" fillId="29" borderId="25" xfId="0" applyFont="1" applyFill="1" applyBorder="1"/>
    <xf numFmtId="0" fontId="33" fillId="29" borderId="26" xfId="0" applyFont="1" applyFill="1" applyBorder="1"/>
    <xf numFmtId="0" fontId="34" fillId="0" borderId="3" xfId="0" applyFont="1" applyBorder="1" applyAlignment="1">
      <alignment horizontal="center" vertical="center" wrapText="1"/>
    </xf>
    <xf numFmtId="0" fontId="10" fillId="31" borderId="27" xfId="0" applyFont="1" applyFill="1" applyBorder="1" applyAlignment="1">
      <alignment horizontal="center" vertical="center" wrapText="1"/>
    </xf>
    <xf numFmtId="9" fontId="10" fillId="31" borderId="27" xfId="0" applyNumberFormat="1" applyFont="1" applyFill="1" applyBorder="1" applyAlignment="1">
      <alignment horizontal="center" vertical="center" wrapText="1"/>
    </xf>
    <xf numFmtId="165" fontId="10" fillId="31" borderId="27" xfId="0" applyNumberFormat="1" applyFont="1" applyFill="1" applyBorder="1" applyAlignment="1">
      <alignment horizontal="center" vertical="center" wrapText="1"/>
    </xf>
    <xf numFmtId="165" fontId="11" fillId="15" borderId="23" xfId="73" applyNumberFormat="1" applyFont="1" applyFill="1" applyBorder="1" applyAlignment="1">
      <alignment horizontal="center"/>
    </xf>
    <xf numFmtId="4" fontId="15" fillId="34" borderId="23" xfId="0" applyNumberFormat="1" applyFont="1" applyFill="1" applyBorder="1" applyAlignment="1">
      <alignment wrapText="1"/>
    </xf>
    <xf numFmtId="9" fontId="11" fillId="35" borderId="23" xfId="0" applyNumberFormat="1" applyFont="1" applyFill="1" applyBorder="1" applyAlignment="1">
      <alignment horizontal="center" wrapText="1"/>
    </xf>
    <xf numFmtId="165" fontId="11" fillId="35" borderId="23" xfId="0" applyNumberFormat="1" applyFont="1" applyFill="1" applyBorder="1" applyAlignment="1">
      <alignment horizontal="center" wrapText="1"/>
    </xf>
    <xf numFmtId="165" fontId="0" fillId="35" borderId="23" xfId="0" applyNumberFormat="1" applyFill="1" applyBorder="1"/>
    <xf numFmtId="1" fontId="5" fillId="0" borderId="0" xfId="0" applyNumberFormat="1" applyFont="1"/>
    <xf numFmtId="169" fontId="14" fillId="7" borderId="29" xfId="0" applyNumberFormat="1" applyFont="1" applyFill="1" applyBorder="1" applyAlignment="1">
      <alignment horizontal="center" vertical="center"/>
    </xf>
    <xf numFmtId="0" fontId="5" fillId="37" borderId="0" xfId="0" applyFont="1" applyFill="1"/>
    <xf numFmtId="1" fontId="0" fillId="37" borderId="0" xfId="0" applyNumberFormat="1" applyFill="1"/>
    <xf numFmtId="166" fontId="0" fillId="37" borderId="0" xfId="0" applyNumberFormat="1" applyFill="1"/>
    <xf numFmtId="164" fontId="0" fillId="37" borderId="0" xfId="0" applyNumberFormat="1" applyFill="1" applyAlignment="1">
      <alignment horizontal="center" vertical="center"/>
    </xf>
    <xf numFmtId="0" fontId="11" fillId="0" borderId="0" xfId="0" applyFont="1" applyAlignment="1">
      <alignment horizontal="center" vertical="center"/>
    </xf>
    <xf numFmtId="0" fontId="0" fillId="0" borderId="19" xfId="0" applyBorder="1"/>
    <xf numFmtId="0" fontId="5" fillId="0" borderId="0" xfId="0" applyFont="1" applyAlignment="1">
      <alignment horizontal="left" vertical="center"/>
    </xf>
    <xf numFmtId="0" fontId="11" fillId="0" borderId="0" xfId="0" applyFont="1" applyAlignment="1">
      <alignment vertical="center"/>
    </xf>
    <xf numFmtId="0" fontId="11" fillId="0" borderId="17" xfId="0" applyFont="1" applyBorder="1" applyAlignment="1">
      <alignment horizontal="center" vertical="center"/>
    </xf>
    <xf numFmtId="0" fontId="11" fillId="0" borderId="17" xfId="0" applyFont="1" applyBorder="1" applyAlignment="1">
      <alignment vertical="center"/>
    </xf>
    <xf numFmtId="0" fontId="5" fillId="0" borderId="0" xfId="0" applyFont="1" applyAlignment="1">
      <alignment horizontal="right" vertical="center"/>
    </xf>
    <xf numFmtId="170" fontId="0" fillId="7" borderId="0" xfId="0" applyNumberFormat="1" applyFill="1"/>
    <xf numFmtId="49" fontId="11" fillId="39" borderId="0" xfId="0" applyNumberFormat="1" applyFont="1" applyFill="1"/>
    <xf numFmtId="9" fontId="11" fillId="39" borderId="0" xfId="0" applyNumberFormat="1" applyFont="1" applyFill="1"/>
    <xf numFmtId="0" fontId="10" fillId="39" borderId="14" xfId="0" applyFont="1" applyFill="1" applyBorder="1"/>
    <xf numFmtId="0" fontId="11" fillId="26" borderId="0" xfId="0" applyFont="1" applyFill="1"/>
    <xf numFmtId="0" fontId="11" fillId="26" borderId="16" xfId="0" applyFont="1" applyFill="1" applyBorder="1"/>
    <xf numFmtId="49" fontId="11" fillId="26" borderId="17" xfId="0" applyNumberFormat="1" applyFont="1" applyFill="1" applyBorder="1"/>
    <xf numFmtId="166" fontId="11" fillId="39" borderId="15" xfId="0" applyNumberFormat="1" applyFont="1" applyFill="1" applyBorder="1"/>
    <xf numFmtId="0" fontId="32" fillId="9" borderId="0" xfId="0" applyFont="1" applyFill="1" applyAlignment="1">
      <alignment horizontal="center"/>
    </xf>
    <xf numFmtId="0" fontId="11" fillId="37" borderId="0" xfId="0" applyFont="1" applyFill="1" applyAlignment="1">
      <alignment horizontal="center" vertical="center"/>
    </xf>
    <xf numFmtId="0" fontId="14" fillId="37" borderId="24" xfId="0" applyFont="1" applyFill="1" applyBorder="1" applyAlignment="1">
      <alignment horizontal="left" vertical="center"/>
    </xf>
    <xf numFmtId="0" fontId="0" fillId="37" borderId="28" xfId="0" applyFill="1" applyBorder="1"/>
    <xf numFmtId="0" fontId="0" fillId="37" borderId="29" xfId="0" applyFill="1" applyBorder="1"/>
    <xf numFmtId="0" fontId="32" fillId="0" borderId="0" xfId="0" applyFont="1" applyAlignment="1">
      <alignment horizontal="center"/>
    </xf>
    <xf numFmtId="0" fontId="5" fillId="0" borderId="0" xfId="0" applyFont="1" applyAlignment="1">
      <alignment horizontal="right" vertical="center" wrapText="1"/>
    </xf>
    <xf numFmtId="0" fontId="0" fillId="0" borderId="0" xfId="0" applyAlignment="1">
      <alignment horizontal="right" wrapText="1"/>
    </xf>
    <xf numFmtId="1" fontId="5" fillId="0" borderId="0" xfId="0" applyNumberFormat="1" applyFont="1" applyAlignment="1">
      <alignment vertical="center"/>
    </xf>
    <xf numFmtId="1" fontId="9" fillId="0" borderId="24" xfId="0" applyNumberFormat="1" applyFont="1" applyBorder="1" applyAlignment="1">
      <alignment horizontal="center" vertical="center"/>
    </xf>
    <xf numFmtId="1" fontId="5" fillId="37" borderId="19" xfId="0" applyNumberFormat="1" applyFont="1" applyFill="1" applyBorder="1" applyAlignment="1">
      <alignment horizontal="center" vertical="center"/>
    </xf>
    <xf numFmtId="1" fontId="5" fillId="0" borderId="19" xfId="0" applyNumberFormat="1" applyFont="1" applyBorder="1" applyAlignment="1">
      <alignment horizontal="center" vertical="center"/>
    </xf>
    <xf numFmtId="1" fontId="9" fillId="0" borderId="0" xfId="0" applyNumberFormat="1" applyFont="1" applyAlignment="1">
      <alignment horizontal="center" vertical="center"/>
    </xf>
    <xf numFmtId="0" fontId="0" fillId="0" borderId="0" xfId="0" applyAlignment="1">
      <alignment horizontal="right"/>
    </xf>
    <xf numFmtId="0" fontId="4" fillId="37" borderId="0" xfId="0" applyFont="1" applyFill="1" applyAlignment="1">
      <alignment horizontal="left" vertical="center"/>
    </xf>
    <xf numFmtId="1" fontId="9" fillId="37" borderId="17" xfId="0" applyNumberFormat="1" applyFont="1" applyFill="1" applyBorder="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9" fillId="0" borderId="0" xfId="0" applyFont="1" applyAlignment="1">
      <alignment horizontal="right" wrapText="1"/>
    </xf>
    <xf numFmtId="0" fontId="5" fillId="0" borderId="0" xfId="0" applyFont="1"/>
    <xf numFmtId="165" fontId="11" fillId="30" borderId="23" xfId="73" applyNumberFormat="1" applyFont="1" applyFill="1" applyBorder="1" applyAlignment="1">
      <alignment horizontal="center"/>
    </xf>
    <xf numFmtId="0" fontId="15" fillId="23" borderId="30" xfId="0" applyFont="1" applyFill="1" applyBorder="1" applyAlignment="1">
      <alignment horizontal="left" vertical="center" wrapText="1"/>
    </xf>
    <xf numFmtId="0" fontId="15" fillId="0" borderId="30" xfId="0" applyFont="1" applyBorder="1" applyAlignment="1">
      <alignment horizontal="center" vertical="center" wrapText="1"/>
    </xf>
    <xf numFmtId="9" fontId="0" fillId="3" borderId="0" xfId="81" applyFont="1" applyFill="1" applyAlignment="1">
      <alignment wrapText="1"/>
    </xf>
    <xf numFmtId="44" fontId="0" fillId="3" borderId="0" xfId="80" applyFont="1" applyFill="1" applyAlignment="1">
      <alignment wrapText="1"/>
    </xf>
    <xf numFmtId="9" fontId="15" fillId="0" borderId="30" xfId="81" applyFont="1" applyFill="1" applyBorder="1" applyAlignment="1">
      <alignment horizontal="center" vertical="center" wrapText="1"/>
    </xf>
    <xf numFmtId="165" fontId="15" fillId="0" borderId="30" xfId="80" applyNumberFormat="1" applyFont="1" applyFill="1" applyBorder="1" applyAlignment="1">
      <alignment horizontal="center" vertical="center" wrapText="1"/>
    </xf>
    <xf numFmtId="0" fontId="11" fillId="23" borderId="30" xfId="0" applyFont="1" applyFill="1" applyBorder="1" applyAlignment="1">
      <alignment horizontal="left" vertical="center" wrapText="1"/>
    </xf>
    <xf numFmtId="0" fontId="44" fillId="0" borderId="0" xfId="0" applyFont="1"/>
    <xf numFmtId="0" fontId="45" fillId="0" borderId="0" xfId="0" applyFont="1"/>
    <xf numFmtId="0" fontId="46" fillId="0" borderId="31" xfId="0" applyFont="1" applyBorder="1" applyAlignment="1">
      <alignment vertical="center" wrapText="1"/>
    </xf>
    <xf numFmtId="0" fontId="46" fillId="27" borderId="31" xfId="0" applyFont="1" applyFill="1" applyBorder="1" applyAlignment="1">
      <alignment vertical="center" wrapText="1"/>
    </xf>
    <xf numFmtId="0" fontId="44" fillId="27" borderId="31" xfId="0" applyFont="1" applyFill="1" applyBorder="1" applyAlignment="1">
      <alignment vertical="center" wrapText="1"/>
    </xf>
    <xf numFmtId="0" fontId="44" fillId="0" borderId="31" xfId="0" applyFont="1" applyBorder="1" applyAlignment="1">
      <alignment vertical="center" wrapText="1"/>
    </xf>
    <xf numFmtId="0" fontId="47" fillId="40" borderId="30" xfId="0" applyFont="1" applyFill="1" applyBorder="1" applyAlignment="1">
      <alignment horizontal="center" vertical="center" wrapText="1"/>
    </xf>
    <xf numFmtId="0" fontId="46" fillId="0" borderId="31" xfId="0" applyFont="1" applyBorder="1" applyAlignment="1">
      <alignment horizontal="right" vertical="center" wrapText="1"/>
    </xf>
    <xf numFmtId="0" fontId="45" fillId="0" borderId="31" xfId="0" applyFont="1" applyBorder="1"/>
    <xf numFmtId="0" fontId="46" fillId="0" borderId="0" xfId="0" applyFont="1" applyAlignment="1">
      <alignment horizontal="right" vertical="center" wrapText="1"/>
    </xf>
    <xf numFmtId="0" fontId="46" fillId="0" borderId="32" xfId="0" applyFont="1" applyBorder="1" applyAlignment="1">
      <alignment horizontal="right" vertical="center" wrapText="1"/>
    </xf>
    <xf numFmtId="0" fontId="20" fillId="11" borderId="30" xfId="0" applyFont="1" applyFill="1" applyBorder="1" applyAlignment="1">
      <alignment horizontal="center" vertical="center" wrapText="1"/>
    </xf>
    <xf numFmtId="0" fontId="46" fillId="16" borderId="31" xfId="0" applyFont="1" applyFill="1" applyBorder="1" applyAlignment="1">
      <alignment vertical="center" wrapText="1"/>
    </xf>
    <xf numFmtId="0" fontId="45" fillId="16" borderId="0" xfId="0" applyFont="1" applyFill="1"/>
    <xf numFmtId="0" fontId="44" fillId="13" borderId="0" xfId="0" applyFont="1" applyFill="1"/>
    <xf numFmtId="0" fontId="46" fillId="0" borderId="30" xfId="0" applyFont="1" applyBorder="1" applyAlignment="1">
      <alignment vertical="center" wrapText="1"/>
    </xf>
    <xf numFmtId="0" fontId="46" fillId="16" borderId="30" xfId="0" applyFont="1" applyFill="1" applyBorder="1" applyAlignment="1">
      <alignment vertical="center" wrapText="1"/>
    </xf>
    <xf numFmtId="0" fontId="0" fillId="0" borderId="30" xfId="0" applyBorder="1"/>
    <xf numFmtId="0" fontId="44" fillId="0" borderId="30" xfId="0" applyFont="1" applyBorder="1" applyAlignment="1">
      <alignment vertical="center" wrapText="1"/>
    </xf>
    <xf numFmtId="0" fontId="19" fillId="0" borderId="30" xfId="0" applyFont="1" applyBorder="1" applyAlignment="1">
      <alignment horizontal="right" vertical="center" wrapText="1"/>
    </xf>
    <xf numFmtId="0" fontId="0" fillId="0" borderId="31" xfId="0" applyBorder="1"/>
    <xf numFmtId="0" fontId="45" fillId="0" borderId="32" xfId="0" applyFont="1" applyBorder="1"/>
    <xf numFmtId="0" fontId="48" fillId="0" borderId="30" xfId="0" applyFont="1" applyBorder="1" applyAlignment="1">
      <alignment horizontal="right" vertical="center" wrapText="1"/>
    </xf>
    <xf numFmtId="1" fontId="5" fillId="0" borderId="0" xfId="73" applyNumberFormat="1"/>
    <xf numFmtId="164" fontId="5" fillId="0" borderId="0" xfId="73" applyNumberFormat="1"/>
    <xf numFmtId="0" fontId="30" fillId="0" borderId="0" xfId="73" applyFont="1" applyAlignment="1">
      <alignment horizontal="center" wrapText="1"/>
    </xf>
    <xf numFmtId="0" fontId="37" fillId="30" borderId="30" xfId="73" applyFont="1" applyFill="1" applyBorder="1" applyAlignment="1">
      <alignment horizontal="center" vertical="center" wrapText="1"/>
    </xf>
    <xf numFmtId="2" fontId="37" fillId="30" borderId="30" xfId="73" applyNumberFormat="1" applyFont="1" applyFill="1" applyBorder="1" applyAlignment="1">
      <alignment horizontal="center" vertical="center" wrapText="1"/>
    </xf>
    <xf numFmtId="1" fontId="37" fillId="30" borderId="30" xfId="73" applyNumberFormat="1" applyFont="1" applyFill="1" applyBorder="1" applyAlignment="1">
      <alignment horizontal="center" vertical="center" wrapText="1"/>
    </xf>
    <xf numFmtId="164" fontId="37" fillId="38" borderId="30" xfId="73" applyNumberFormat="1" applyFont="1" applyFill="1" applyBorder="1" applyAlignment="1">
      <alignment horizontal="center" vertical="center" wrapText="1"/>
    </xf>
    <xf numFmtId="1" fontId="35" fillId="0" borderId="30" xfId="73" applyNumberFormat="1" applyFont="1" applyBorder="1" applyAlignment="1">
      <alignment horizontal="center" vertical="center" wrapText="1"/>
    </xf>
    <xf numFmtId="0" fontId="5" fillId="0" borderId="0" xfId="73" applyAlignment="1">
      <alignment horizontal="center" vertical="center" wrapText="1"/>
    </xf>
    <xf numFmtId="0" fontId="15" fillId="0" borderId="0" xfId="73" applyFont="1" applyAlignment="1">
      <alignment wrapText="1"/>
    </xf>
    <xf numFmtId="0" fontId="15" fillId="0" borderId="30" xfId="73" applyFont="1" applyBorder="1" applyAlignment="1">
      <alignment horizontal="center" wrapText="1"/>
    </xf>
    <xf numFmtId="2" fontId="15" fillId="0" borderId="30" xfId="73" applyNumberFormat="1" applyFont="1" applyBorder="1" applyAlignment="1">
      <alignment horizontal="center" wrapText="1"/>
    </xf>
    <xf numFmtId="1" fontId="15" fillId="0" borderId="30" xfId="73" applyNumberFormat="1" applyFont="1" applyBorder="1" applyAlignment="1">
      <alignment horizontal="center" wrapText="1"/>
    </xf>
    <xf numFmtId="3" fontId="15" fillId="0" borderId="30" xfId="73" applyNumberFormat="1" applyFont="1" applyBorder="1" applyAlignment="1">
      <alignment horizontal="center" wrapText="1"/>
    </xf>
    <xf numFmtId="164" fontId="15" fillId="0" borderId="30" xfId="73" applyNumberFormat="1" applyFont="1" applyBorder="1" applyAlignment="1">
      <alignment horizontal="center" wrapText="1"/>
    </xf>
    <xf numFmtId="0" fontId="15" fillId="0" borderId="0" xfId="73" applyFont="1" applyAlignment="1">
      <alignment horizontal="center" wrapText="1"/>
    </xf>
    <xf numFmtId="2" fontId="15" fillId="0" borderId="0" xfId="73" applyNumberFormat="1" applyFont="1" applyAlignment="1">
      <alignment horizontal="center" wrapText="1"/>
    </xf>
    <xf numFmtId="1" fontId="15" fillId="0" borderId="0" xfId="73" applyNumberFormat="1" applyFont="1" applyAlignment="1">
      <alignment horizontal="center" wrapText="1"/>
    </xf>
    <xf numFmtId="3" fontId="15" fillId="0" borderId="0" xfId="73" applyNumberFormat="1" applyFont="1" applyAlignment="1">
      <alignment horizontal="center" wrapText="1"/>
    </xf>
    <xf numFmtId="164" fontId="15" fillId="0" borderId="0" xfId="73" applyNumberFormat="1" applyFont="1" applyAlignment="1">
      <alignment horizontal="center" wrapText="1"/>
    </xf>
    <xf numFmtId="0" fontId="4" fillId="0" borderId="0" xfId="73" applyFont="1" applyAlignment="1">
      <alignment wrapText="1"/>
    </xf>
    <xf numFmtId="0" fontId="4" fillId="0" borderId="0" xfId="73" applyFont="1" applyAlignment="1">
      <alignment horizontal="center" wrapText="1"/>
    </xf>
    <xf numFmtId="2" fontId="4" fillId="0" borderId="0" xfId="73" applyNumberFormat="1" applyFont="1" applyAlignment="1">
      <alignment horizontal="center" wrapText="1"/>
    </xf>
    <xf numFmtId="1" fontId="4" fillId="0" borderId="0" xfId="73" applyNumberFormat="1" applyFont="1" applyAlignment="1">
      <alignment horizontal="center" wrapText="1"/>
    </xf>
    <xf numFmtId="3" fontId="4" fillId="0" borderId="0" xfId="73" applyNumberFormat="1" applyFont="1" applyAlignment="1">
      <alignment horizontal="center" wrapText="1"/>
    </xf>
    <xf numFmtId="164" fontId="4" fillId="0" borderId="0" xfId="73" applyNumberFormat="1" applyFont="1" applyAlignment="1">
      <alignment horizontal="center" wrapText="1"/>
    </xf>
    <xf numFmtId="0" fontId="16" fillId="0" borderId="0" xfId="73" applyFont="1" applyAlignment="1">
      <alignment wrapText="1"/>
    </xf>
    <xf numFmtId="0" fontId="16" fillId="0" borderId="0" xfId="73" applyFont="1" applyAlignment="1">
      <alignment horizontal="center" wrapText="1"/>
    </xf>
    <xf numFmtId="2" fontId="16" fillId="0" borderId="0" xfId="73" applyNumberFormat="1" applyFont="1" applyAlignment="1">
      <alignment horizontal="center" wrapText="1"/>
    </xf>
    <xf numFmtId="1" fontId="16" fillId="0" borderId="0" xfId="73" applyNumberFormat="1" applyFont="1" applyAlignment="1">
      <alignment horizontal="center" wrapText="1"/>
    </xf>
    <xf numFmtId="3" fontId="16" fillId="0" borderId="0" xfId="73" applyNumberFormat="1" applyFont="1" applyAlignment="1">
      <alignment horizontal="center" wrapText="1"/>
    </xf>
    <xf numFmtId="164" fontId="16" fillId="0" borderId="0" xfId="73" applyNumberFormat="1" applyFont="1" applyAlignment="1">
      <alignment horizontal="center" wrapText="1"/>
    </xf>
    <xf numFmtId="2" fontId="16" fillId="0" borderId="0" xfId="73" applyNumberFormat="1" applyFont="1" applyAlignment="1">
      <alignment wrapText="1"/>
    </xf>
    <xf numFmtId="1" fontId="16" fillId="0" borderId="0" xfId="73" applyNumberFormat="1" applyFont="1" applyAlignment="1">
      <alignment wrapText="1"/>
    </xf>
    <xf numFmtId="3" fontId="16" fillId="0" borderId="0" xfId="73" applyNumberFormat="1" applyFont="1" applyAlignment="1">
      <alignment wrapText="1"/>
    </xf>
    <xf numFmtId="164" fontId="16" fillId="0" borderId="0" xfId="73" applyNumberFormat="1" applyFont="1" applyAlignment="1">
      <alignment wrapText="1"/>
    </xf>
    <xf numFmtId="2" fontId="16" fillId="0" borderId="0" xfId="73" applyNumberFormat="1" applyFont="1"/>
    <xf numFmtId="0" fontId="16" fillId="0" borderId="0" xfId="73" applyFont="1"/>
    <xf numFmtId="1" fontId="16" fillId="0" borderId="0" xfId="73" applyNumberFormat="1" applyFont="1"/>
    <xf numFmtId="3" fontId="16" fillId="0" borderId="0" xfId="73" applyNumberFormat="1" applyFont="1"/>
    <xf numFmtId="164" fontId="16" fillId="0" borderId="0" xfId="73" applyNumberFormat="1" applyFont="1"/>
    <xf numFmtId="2" fontId="5" fillId="0" borderId="0" xfId="73" applyNumberFormat="1"/>
    <xf numFmtId="164" fontId="11" fillId="41" borderId="23" xfId="73" applyNumberFormat="1" applyFont="1" applyFill="1" applyBorder="1" applyAlignment="1">
      <alignment horizontal="center"/>
    </xf>
    <xf numFmtId="164" fontId="11" fillId="30" borderId="23" xfId="73" applyNumberFormat="1" applyFont="1" applyFill="1" applyBorder="1" applyAlignment="1">
      <alignment horizontal="center"/>
    </xf>
    <xf numFmtId="9" fontId="11" fillId="0" borderId="0" xfId="73" applyNumberFormat="1" applyFont="1" applyAlignment="1">
      <alignment horizontal="center"/>
    </xf>
    <xf numFmtId="9" fontId="11" fillId="0" borderId="0" xfId="73" applyNumberFormat="1" applyFont="1"/>
    <xf numFmtId="0" fontId="49" fillId="0" borderId="23" xfId="0" applyFont="1" applyBorder="1" applyAlignment="1">
      <alignment horizontal="center"/>
    </xf>
    <xf numFmtId="0" fontId="11" fillId="41" borderId="23" xfId="73" applyFont="1" applyFill="1" applyBorder="1" applyAlignment="1">
      <alignment horizontal="center"/>
    </xf>
    <xf numFmtId="49" fontId="11" fillId="0" borderId="23" xfId="73" applyNumberFormat="1" applyFont="1" applyBorder="1" applyAlignment="1">
      <alignment horizontal="center" wrapText="1"/>
    </xf>
    <xf numFmtId="0" fontId="3" fillId="7" borderId="0" xfId="0" applyFont="1" applyFill="1"/>
    <xf numFmtId="0" fontId="9" fillId="0" borderId="30" xfId="0" applyFont="1" applyBorder="1" applyAlignment="1">
      <alignment horizontal="right"/>
    </xf>
    <xf numFmtId="0" fontId="9" fillId="2" borderId="30" xfId="0" applyFont="1" applyFill="1" applyBorder="1" applyAlignment="1">
      <alignment horizontal="right"/>
    </xf>
    <xf numFmtId="0" fontId="9" fillId="14" borderId="30" xfId="0" applyFont="1" applyFill="1" applyBorder="1" applyAlignment="1">
      <alignment horizontal="right"/>
    </xf>
    <xf numFmtId="166" fontId="9" fillId="2" borderId="30" xfId="0" applyNumberFormat="1" applyFont="1" applyFill="1" applyBorder="1" applyAlignment="1">
      <alignment horizontal="right"/>
    </xf>
    <xf numFmtId="0" fontId="9" fillId="13" borderId="30" xfId="0" applyFont="1" applyFill="1" applyBorder="1" applyAlignment="1">
      <alignment horizontal="right"/>
    </xf>
    <xf numFmtId="0" fontId="9" fillId="14" borderId="30" xfId="0" applyFont="1" applyFill="1" applyBorder="1"/>
    <xf numFmtId="0" fontId="10" fillId="0" borderId="23" xfId="0" applyFont="1" applyBorder="1" applyAlignment="1">
      <alignment wrapText="1"/>
    </xf>
    <xf numFmtId="0" fontId="0" fillId="28" borderId="30" xfId="0" applyFill="1" applyBorder="1" applyAlignment="1">
      <alignment horizontal="center" vertical="center" wrapText="1"/>
    </xf>
    <xf numFmtId="0" fontId="5" fillId="12" borderId="30" xfId="0" applyFont="1" applyFill="1" applyBorder="1" applyAlignment="1" applyProtection="1">
      <alignment horizontal="center" vertical="center"/>
      <protection locked="0" hidden="1"/>
    </xf>
    <xf numFmtId="0" fontId="0" fillId="12" borderId="30" xfId="0" applyFill="1" applyBorder="1" applyAlignment="1">
      <alignment horizontal="center" vertical="center" wrapText="1"/>
    </xf>
    <xf numFmtId="0" fontId="5" fillId="12" borderId="30" xfId="0" applyFont="1" applyFill="1" applyBorder="1" applyAlignment="1" applyProtection="1">
      <alignment horizontal="center" vertical="center"/>
      <protection hidden="1"/>
    </xf>
    <xf numFmtId="1" fontId="0" fillId="12" borderId="30" xfId="0" applyNumberFormat="1" applyFill="1" applyBorder="1" applyAlignment="1">
      <alignment horizontal="center" vertical="center"/>
    </xf>
    <xf numFmtId="0" fontId="0" fillId="28" borderId="30" xfId="0" applyFill="1" applyBorder="1" applyAlignment="1">
      <alignment horizontal="center" vertical="center" wrapText="1" shrinkToFit="1"/>
    </xf>
    <xf numFmtId="0" fontId="0" fillId="2" borderId="30" xfId="0" applyFill="1" applyBorder="1" applyAlignment="1">
      <alignment horizontal="center" vertical="center"/>
    </xf>
    <xf numFmtId="0" fontId="5" fillId="15" borderId="30" xfId="0" applyFont="1" applyFill="1" applyBorder="1" applyAlignment="1" applyProtection="1">
      <alignment horizontal="center"/>
      <protection hidden="1"/>
    </xf>
    <xf numFmtId="0" fontId="0" fillId="2" borderId="30" xfId="0" applyFill="1" applyBorder="1"/>
    <xf numFmtId="0" fontId="5" fillId="12" borderId="30" xfId="0" applyFont="1" applyFill="1" applyBorder="1" applyAlignment="1" applyProtection="1">
      <alignment horizontal="center"/>
      <protection locked="0" hidden="1"/>
    </xf>
    <xf numFmtId="0" fontId="5" fillId="12" borderId="30" xfId="0" applyFont="1" applyFill="1" applyBorder="1" applyProtection="1">
      <protection locked="0" hidden="1"/>
    </xf>
    <xf numFmtId="0" fontId="4" fillId="0" borderId="30" xfId="0" applyFont="1" applyBorder="1" applyAlignment="1">
      <alignment horizontal="left" vertical="center"/>
    </xf>
    <xf numFmtId="0" fontId="14" fillId="31" borderId="30" xfId="0" applyFont="1" applyFill="1" applyBorder="1" applyAlignment="1">
      <alignment horizontal="center" vertical="center" wrapText="1"/>
    </xf>
    <xf numFmtId="9" fontId="15" fillId="0" borderId="30" xfId="0" applyNumberFormat="1" applyFont="1" applyBorder="1" applyAlignment="1">
      <alignment horizontal="center" vertical="center" wrapText="1"/>
    </xf>
    <xf numFmtId="165" fontId="15" fillId="0" borderId="30" xfId="0" applyNumberFormat="1" applyFont="1" applyBorder="1" applyAlignment="1">
      <alignment horizontal="center" vertical="center" wrapText="1"/>
    </xf>
    <xf numFmtId="0" fontId="15" fillId="0" borderId="30" xfId="0" applyFont="1" applyBorder="1" applyAlignment="1">
      <alignment horizontal="left" vertical="center" wrapText="1"/>
    </xf>
    <xf numFmtId="0" fontId="15" fillId="36" borderId="30" xfId="0" applyFont="1" applyFill="1" applyBorder="1" applyAlignment="1">
      <alignment horizontal="left" vertical="center" wrapText="1"/>
    </xf>
    <xf numFmtId="9" fontId="15" fillId="33" borderId="30" xfId="0" applyNumberFormat="1" applyFont="1" applyFill="1" applyBorder="1" applyAlignment="1">
      <alignment horizontal="center" vertical="center" wrapText="1"/>
    </xf>
    <xf numFmtId="0" fontId="15" fillId="33" borderId="30" xfId="0" applyFont="1" applyFill="1" applyBorder="1" applyAlignment="1">
      <alignment horizontal="center" vertical="center" wrapText="1"/>
    </xf>
    <xf numFmtId="165" fontId="15" fillId="33" borderId="30" xfId="0" applyNumberFormat="1" applyFont="1" applyFill="1" applyBorder="1" applyAlignment="1">
      <alignment horizontal="center" vertical="center" wrapText="1"/>
    </xf>
    <xf numFmtId="9" fontId="15" fillId="0" borderId="30" xfId="0" applyNumberFormat="1" applyFont="1" applyBorder="1" applyAlignment="1">
      <alignment horizontal="center" vertical="center"/>
    </xf>
    <xf numFmtId="0" fontId="15" fillId="0" borderId="30" xfId="0" applyFont="1" applyBorder="1" applyAlignment="1">
      <alignment horizontal="center" vertical="center"/>
    </xf>
    <xf numFmtId="165" fontId="15" fillId="0" borderId="30" xfId="0" applyNumberFormat="1" applyFont="1" applyBorder="1" applyAlignment="1">
      <alignment horizontal="center" vertical="center"/>
    </xf>
    <xf numFmtId="0" fontId="15" fillId="17" borderId="30" xfId="0" applyFont="1" applyFill="1" applyBorder="1" applyAlignment="1">
      <alignment horizontal="left" vertical="center" wrapText="1"/>
    </xf>
    <xf numFmtId="9" fontId="15" fillId="16" borderId="30" xfId="0" applyNumberFormat="1" applyFont="1" applyFill="1" applyBorder="1" applyAlignment="1">
      <alignment horizontal="center" vertical="center"/>
    </xf>
    <xf numFmtId="0" fontId="15" fillId="16" borderId="30" xfId="0" applyFont="1" applyFill="1" applyBorder="1" applyAlignment="1">
      <alignment horizontal="center" vertical="center"/>
    </xf>
    <xf numFmtId="165" fontId="0" fillId="16" borderId="30" xfId="0" applyNumberFormat="1" applyFill="1" applyBorder="1" applyAlignment="1">
      <alignment horizontal="center" vertical="center"/>
    </xf>
    <xf numFmtId="0" fontId="15" fillId="15" borderId="30" xfId="0" applyFont="1" applyFill="1" applyBorder="1" applyAlignment="1">
      <alignment horizontal="center" vertical="center"/>
    </xf>
    <xf numFmtId="0" fontId="5" fillId="6" borderId="30" xfId="0" applyFont="1" applyFill="1" applyBorder="1" applyAlignment="1">
      <alignment horizontal="center" wrapText="1"/>
    </xf>
    <xf numFmtId="9" fontId="0" fillId="4" borderId="30" xfId="0" applyNumberFormat="1" applyFill="1" applyBorder="1" applyAlignment="1">
      <alignment wrapText="1"/>
    </xf>
    <xf numFmtId="0" fontId="0" fillId="4" borderId="30" xfId="0" applyFill="1" applyBorder="1" applyAlignment="1">
      <alignment wrapText="1"/>
    </xf>
    <xf numFmtId="165" fontId="5" fillId="4" borderId="30" xfId="0" applyNumberFormat="1" applyFont="1" applyFill="1" applyBorder="1" applyAlignment="1">
      <alignment wrapText="1"/>
    </xf>
    <xf numFmtId="165" fontId="0" fillId="4" borderId="30" xfId="0" applyNumberFormat="1" applyFill="1" applyBorder="1" applyAlignment="1">
      <alignment wrapText="1"/>
    </xf>
    <xf numFmtId="1" fontId="0" fillId="4" borderId="30" xfId="0" applyNumberFormat="1" applyFill="1" applyBorder="1" applyAlignment="1">
      <alignment horizontal="center" wrapText="1"/>
    </xf>
    <xf numFmtId="164" fontId="0" fillId="4" borderId="30" xfId="0" applyNumberFormat="1" applyFill="1" applyBorder="1" applyAlignment="1">
      <alignment horizontal="center" wrapText="1"/>
    </xf>
    <xf numFmtId="0" fontId="0" fillId="4" borderId="30" xfId="0" applyFill="1" applyBorder="1" applyAlignment="1">
      <alignment horizontal="center" wrapText="1"/>
    </xf>
    <xf numFmtId="9" fontId="11" fillId="0" borderId="30" xfId="0" applyNumberFormat="1" applyFont="1" applyBorder="1" applyAlignment="1">
      <alignment horizontal="center" vertical="center" wrapText="1"/>
    </xf>
    <xf numFmtId="0" fontId="11" fillId="0" borderId="30" xfId="0" applyFont="1" applyBorder="1" applyAlignment="1">
      <alignment horizontal="center" vertical="center" wrapText="1"/>
    </xf>
    <xf numFmtId="165" fontId="11" fillId="0" borderId="30" xfId="0" applyNumberFormat="1" applyFont="1" applyBorder="1" applyAlignment="1">
      <alignment horizontal="center" vertical="center" wrapText="1"/>
    </xf>
    <xf numFmtId="0" fontId="11" fillId="0" borderId="30" xfId="0" applyFont="1" applyBorder="1" applyAlignment="1">
      <alignment horizontal="left" vertical="center" wrapText="1"/>
    </xf>
    <xf numFmtId="165" fontId="11" fillId="0" borderId="30" xfId="80" applyNumberFormat="1" applyFont="1" applyFill="1" applyBorder="1" applyAlignment="1">
      <alignment horizontal="center" vertical="center" wrapText="1"/>
    </xf>
    <xf numFmtId="0" fontId="11" fillId="32" borderId="30" xfId="0" applyFont="1" applyFill="1" applyBorder="1" applyAlignment="1">
      <alignment horizontal="left" vertical="center" wrapText="1"/>
    </xf>
    <xf numFmtId="9" fontId="11" fillId="32" borderId="30" xfId="0" applyNumberFormat="1" applyFont="1" applyFill="1" applyBorder="1" applyAlignment="1">
      <alignment horizontal="center" vertical="center" wrapText="1"/>
    </xf>
    <xf numFmtId="0" fontId="11" fillId="32" borderId="30" xfId="0" applyFont="1" applyFill="1" applyBorder="1" applyAlignment="1">
      <alignment horizontal="center" vertical="center" wrapText="1"/>
    </xf>
    <xf numFmtId="165" fontId="11" fillId="32" borderId="30" xfId="0" applyNumberFormat="1" applyFont="1" applyFill="1" applyBorder="1" applyAlignment="1">
      <alignment horizontal="center" vertical="center" wrapText="1"/>
    </xf>
    <xf numFmtId="0" fontId="11" fillId="3" borderId="23" xfId="0" applyFont="1" applyFill="1" applyBorder="1" applyAlignment="1">
      <alignment wrapText="1"/>
    </xf>
    <xf numFmtId="9" fontId="11" fillId="0" borderId="23" xfId="0" applyNumberFormat="1" applyFont="1" applyBorder="1" applyAlignment="1">
      <alignment horizontal="center"/>
    </xf>
    <xf numFmtId="165" fontId="11" fillId="0" borderId="23" xfId="0" applyNumberFormat="1" applyFont="1" applyBorder="1" applyAlignment="1">
      <alignment horizontal="center"/>
    </xf>
    <xf numFmtId="0" fontId="11" fillId="17" borderId="23" xfId="0" applyFont="1" applyFill="1" applyBorder="1" applyAlignment="1">
      <alignment wrapText="1"/>
    </xf>
    <xf numFmtId="9" fontId="11" fillId="16" borderId="23" xfId="0" applyNumberFormat="1" applyFont="1" applyFill="1" applyBorder="1" applyAlignment="1">
      <alignment horizontal="center"/>
    </xf>
    <xf numFmtId="165" fontId="11" fillId="16" borderId="23" xfId="0" applyNumberFormat="1" applyFont="1" applyFill="1" applyBorder="1" applyAlignment="1">
      <alignment horizontal="center"/>
    </xf>
    <xf numFmtId="0" fontId="0" fillId="0" borderId="30" xfId="0" applyBorder="1" applyAlignment="1">
      <alignment wrapText="1"/>
    </xf>
    <xf numFmtId="1" fontId="5" fillId="0" borderId="30" xfId="0" applyNumberFormat="1" applyFont="1" applyBorder="1" applyAlignment="1">
      <alignment horizontal="center" wrapText="1"/>
    </xf>
    <xf numFmtId="166" fontId="0" fillId="0" borderId="30" xfId="0" applyNumberFormat="1" applyBorder="1" applyAlignment="1">
      <alignment horizontal="center" wrapText="1"/>
    </xf>
    <xf numFmtId="0" fontId="0" fillId="0" borderId="30" xfId="0" applyBorder="1" applyAlignment="1">
      <alignment horizontal="center" wrapText="1"/>
    </xf>
    <xf numFmtId="0" fontId="11" fillId="33" borderId="30" xfId="0" applyFont="1" applyFill="1" applyBorder="1" applyAlignment="1">
      <alignment horizontal="left" vertical="center" wrapText="1"/>
    </xf>
    <xf numFmtId="9" fontId="11" fillId="33" borderId="30" xfId="0" applyNumberFormat="1" applyFont="1" applyFill="1" applyBorder="1" applyAlignment="1">
      <alignment horizontal="center" vertical="center" wrapText="1"/>
    </xf>
    <xf numFmtId="0" fontId="11" fillId="33" borderId="30" xfId="0" applyFont="1" applyFill="1" applyBorder="1" applyAlignment="1">
      <alignment horizontal="center" vertical="center" wrapText="1"/>
    </xf>
    <xf numFmtId="165" fontId="11" fillId="33" borderId="30" xfId="0" applyNumberFormat="1" applyFont="1" applyFill="1" applyBorder="1" applyAlignment="1">
      <alignment horizontal="center" vertical="center" wrapText="1"/>
    </xf>
    <xf numFmtId="4" fontId="15" fillId="0" borderId="23" xfId="0" applyNumberFormat="1" applyFont="1" applyBorder="1" applyAlignment="1">
      <alignment horizontal="left" wrapText="1"/>
    </xf>
    <xf numFmtId="9" fontId="11" fillId="0" borderId="23" xfId="0" applyNumberFormat="1" applyFont="1" applyBorder="1" applyAlignment="1">
      <alignment horizontal="center" wrapText="1"/>
    </xf>
    <xf numFmtId="165" fontId="11" fillId="0" borderId="23" xfId="0" applyNumberFormat="1" applyFont="1" applyBorder="1" applyAlignment="1">
      <alignment horizontal="center" wrapText="1"/>
    </xf>
    <xf numFmtId="9" fontId="0" fillId="0" borderId="30" xfId="0" applyNumberFormat="1" applyBorder="1" applyAlignment="1">
      <alignment wrapText="1"/>
    </xf>
    <xf numFmtId="165" fontId="0" fillId="0" borderId="30" xfId="0" applyNumberFormat="1" applyBorder="1" applyAlignment="1">
      <alignment wrapText="1"/>
    </xf>
    <xf numFmtId="1" fontId="0" fillId="0" borderId="30" xfId="0" applyNumberFormat="1" applyBorder="1" applyAlignment="1">
      <alignment horizontal="center" wrapText="1"/>
    </xf>
    <xf numFmtId="165" fontId="0" fillId="0" borderId="30" xfId="0" applyNumberFormat="1" applyBorder="1" applyAlignment="1">
      <alignment horizontal="center" wrapText="1"/>
    </xf>
    <xf numFmtId="1" fontId="4" fillId="0" borderId="0" xfId="0" applyNumberFormat="1" applyFont="1" applyAlignment="1">
      <alignment wrapText="1"/>
    </xf>
    <xf numFmtId="0" fontId="14" fillId="0" borderId="30" xfId="0" applyFont="1" applyBorder="1" applyAlignment="1">
      <alignment horizontal="center" vertical="center" wrapText="1"/>
    </xf>
    <xf numFmtId="1" fontId="14" fillId="0" borderId="30" xfId="0" applyNumberFormat="1" applyFont="1" applyBorder="1" applyAlignment="1">
      <alignment horizontal="center" vertical="center" wrapText="1"/>
    </xf>
    <xf numFmtId="166" fontId="14" fillId="0" borderId="30" xfId="0" applyNumberFormat="1" applyFont="1" applyBorder="1" applyAlignment="1">
      <alignment horizontal="center" vertical="center" wrapText="1"/>
    </xf>
    <xf numFmtId="164" fontId="14" fillId="0" borderId="30" xfId="0" applyNumberFormat="1" applyFont="1" applyBorder="1" applyAlignment="1">
      <alignment horizontal="center" vertical="center" wrapText="1"/>
    </xf>
    <xf numFmtId="0" fontId="33" fillId="0" borderId="30" xfId="0" applyFont="1" applyBorder="1" applyAlignment="1">
      <alignment horizontal="center" vertical="center"/>
    </xf>
    <xf numFmtId="0" fontId="15" fillId="27" borderId="30" xfId="0" applyFont="1" applyFill="1" applyBorder="1" applyAlignment="1">
      <alignment horizontal="center" vertical="center" wrapText="1"/>
    </xf>
    <xf numFmtId="168" fontId="15" fillId="27" borderId="30" xfId="0" applyNumberFormat="1" applyFont="1" applyFill="1" applyBorder="1" applyAlignment="1">
      <alignment horizontal="center" vertical="center"/>
    </xf>
    <xf numFmtId="166" fontId="15" fillId="27" borderId="30" xfId="0" applyNumberFormat="1" applyFont="1" applyFill="1" applyBorder="1" applyAlignment="1">
      <alignment horizontal="center" vertical="center"/>
    </xf>
    <xf numFmtId="169" fontId="15" fillId="27" borderId="30" xfId="0" applyNumberFormat="1" applyFont="1" applyFill="1" applyBorder="1" applyAlignment="1">
      <alignment horizontal="center" vertical="center"/>
    </xf>
    <xf numFmtId="0" fontId="15" fillId="24" borderId="30" xfId="0" applyFont="1" applyFill="1" applyBorder="1" applyAlignment="1">
      <alignment horizontal="center" vertical="center" wrapText="1"/>
    </xf>
    <xf numFmtId="168" fontId="15" fillId="24" borderId="30" xfId="0" applyNumberFormat="1" applyFont="1" applyFill="1" applyBorder="1" applyAlignment="1">
      <alignment horizontal="center" vertical="center"/>
    </xf>
    <xf numFmtId="166" fontId="15" fillId="24" borderId="30" xfId="0" applyNumberFormat="1" applyFont="1" applyFill="1" applyBorder="1" applyAlignment="1">
      <alignment horizontal="center" vertical="center"/>
    </xf>
    <xf numFmtId="169" fontId="15" fillId="24" borderId="30" xfId="0" applyNumberFormat="1" applyFont="1" applyFill="1" applyBorder="1" applyAlignment="1">
      <alignment horizontal="center" vertical="center"/>
    </xf>
    <xf numFmtId="0" fontId="15" fillId="10" borderId="30" xfId="0" applyFont="1" applyFill="1" applyBorder="1" applyAlignment="1">
      <alignment horizontal="center" vertical="center" wrapText="1"/>
    </xf>
    <xf numFmtId="168" fontId="15" fillId="10" borderId="30" xfId="0" applyNumberFormat="1" applyFont="1" applyFill="1" applyBorder="1" applyAlignment="1">
      <alignment horizontal="center" vertical="center"/>
    </xf>
    <xf numFmtId="166" fontId="15" fillId="10" borderId="30" xfId="0" applyNumberFormat="1" applyFont="1" applyFill="1" applyBorder="1" applyAlignment="1">
      <alignment horizontal="center" vertical="center"/>
    </xf>
    <xf numFmtId="169" fontId="15" fillId="10" borderId="30" xfId="0" applyNumberFormat="1" applyFont="1" applyFill="1" applyBorder="1" applyAlignment="1">
      <alignment horizontal="center" vertical="center"/>
    </xf>
    <xf numFmtId="0" fontId="11" fillId="27" borderId="0" xfId="0" applyFont="1" applyFill="1" applyAlignment="1">
      <alignment horizontal="center" vertical="center" wrapText="1"/>
    </xf>
    <xf numFmtId="0" fontId="11" fillId="0" borderId="0" xfId="0" applyFont="1" applyAlignment="1">
      <alignment horizontal="right" wrapText="1"/>
    </xf>
    <xf numFmtId="0" fontId="0" fillId="0" borderId="0" xfId="0" applyAlignment="1">
      <alignment wrapText="1"/>
    </xf>
    <xf numFmtId="0" fontId="11" fillId="5" borderId="0" xfId="0" applyFont="1" applyFill="1" applyAlignment="1">
      <alignment horizontal="center" vertical="center" wrapText="1"/>
    </xf>
    <xf numFmtId="0" fontId="11" fillId="22" borderId="14" xfId="0" applyFont="1" applyFill="1" applyBorder="1" applyAlignment="1">
      <alignment wrapText="1"/>
    </xf>
    <xf numFmtId="0" fontId="0" fillId="22" borderId="0" xfId="0" applyFill="1"/>
    <xf numFmtId="0" fontId="0" fillId="22" borderId="0" xfId="0" applyFill="1" applyAlignment="1">
      <alignment wrapText="1"/>
    </xf>
    <xf numFmtId="0" fontId="10" fillId="27" borderId="0" xfId="0" applyFont="1" applyFill="1" applyAlignment="1">
      <alignment horizontal="center" vertical="center" wrapText="1"/>
    </xf>
    <xf numFmtId="0" fontId="5" fillId="27" borderId="0" xfId="0" applyFont="1" applyFill="1" applyAlignment="1">
      <alignment horizontal="center" vertical="center" wrapText="1"/>
    </xf>
    <xf numFmtId="0" fontId="3" fillId="6" borderId="0" xfId="0" applyFont="1" applyFill="1" applyAlignment="1">
      <alignment horizontal="center"/>
    </xf>
    <xf numFmtId="0" fontId="0" fillId="0" borderId="0" xfId="0" applyAlignment="1">
      <alignment horizontal="center"/>
    </xf>
    <xf numFmtId="165" fontId="0" fillId="23" borderId="1" xfId="0" applyNumberFormat="1" applyFill="1" applyBorder="1" applyAlignment="1">
      <alignment wrapText="1"/>
    </xf>
    <xf numFmtId="0" fontId="0" fillId="23" borderId="23" xfId="0" applyFill="1" applyBorder="1"/>
    <xf numFmtId="0" fontId="0" fillId="23" borderId="20" xfId="0" applyFill="1" applyBorder="1"/>
    <xf numFmtId="0" fontId="11" fillId="25" borderId="24" xfId="0" applyFont="1" applyFill="1" applyBorder="1" applyAlignment="1">
      <alignment horizontal="center" vertical="center" wrapText="1"/>
    </xf>
    <xf numFmtId="0" fontId="11" fillId="25" borderId="28" xfId="0" applyFont="1" applyFill="1" applyBorder="1" applyAlignment="1">
      <alignment horizontal="center" vertical="center"/>
    </xf>
    <xf numFmtId="0" fontId="11" fillId="25" borderId="29" xfId="0" applyFont="1" applyFill="1" applyBorder="1" applyAlignment="1">
      <alignment horizontal="center" vertical="center"/>
    </xf>
    <xf numFmtId="0" fontId="11" fillId="26" borderId="24" xfId="0" applyFont="1" applyFill="1" applyBorder="1" applyAlignment="1">
      <alignment vertical="center" wrapText="1"/>
    </xf>
    <xf numFmtId="0" fontId="0" fillId="0" borderId="28" xfId="0" applyBorder="1" applyAlignment="1">
      <alignment vertical="center"/>
    </xf>
    <xf numFmtId="0" fontId="10" fillId="2" borderId="18" xfId="0" applyFont="1" applyFill="1" applyBorder="1" applyAlignment="1">
      <alignment vertical="center" wrapText="1"/>
    </xf>
    <xf numFmtId="0" fontId="0" fillId="0" borderId="29" xfId="0" applyBorder="1" applyAlignment="1">
      <alignment vertical="center"/>
    </xf>
    <xf numFmtId="0" fontId="4" fillId="37" borderId="0" xfId="0" applyFont="1" applyFill="1" applyAlignment="1">
      <alignment horizontal="right" vertical="center" wrapText="1"/>
    </xf>
    <xf numFmtId="0" fontId="0" fillId="37" borderId="0" xfId="0" applyFill="1" applyAlignment="1">
      <alignment horizontal="right" wrapText="1"/>
    </xf>
    <xf numFmtId="0" fontId="9" fillId="39" borderId="10" xfId="0" applyFont="1" applyFill="1" applyBorder="1" applyAlignment="1">
      <alignment horizontal="center" vertical="center" wrapText="1"/>
    </xf>
    <xf numFmtId="0" fontId="9" fillId="39" borderId="10" xfId="0" applyFont="1" applyFill="1" applyBorder="1" applyAlignment="1">
      <alignment horizontal="center"/>
    </xf>
    <xf numFmtId="0" fontId="15" fillId="26" borderId="18" xfId="0" applyFont="1" applyFill="1" applyBorder="1" applyAlignment="1">
      <alignment vertical="center" wrapText="1"/>
    </xf>
    <xf numFmtId="0" fontId="15" fillId="0" borderId="19" xfId="0" applyFont="1" applyBorder="1" applyAlignment="1">
      <alignment vertical="center"/>
    </xf>
    <xf numFmtId="0" fontId="10" fillId="2" borderId="24" xfId="0" applyFont="1" applyFill="1" applyBorder="1" applyAlignment="1">
      <alignment horizontal="left" vertical="center" wrapText="1"/>
    </xf>
    <xf numFmtId="0" fontId="0" fillId="0" borderId="28" xfId="0" applyBorder="1" applyAlignment="1">
      <alignment horizontal="left" vertical="center"/>
    </xf>
    <xf numFmtId="0" fontId="0" fillId="0" borderId="29" xfId="0" applyBorder="1" applyAlignment="1">
      <alignment horizontal="left" vertical="center"/>
    </xf>
    <xf numFmtId="0" fontId="4" fillId="37" borderId="19" xfId="0" applyFont="1" applyFill="1" applyBorder="1" applyAlignment="1">
      <alignment horizontal="right" vertical="center"/>
    </xf>
    <xf numFmtId="0" fontId="4" fillId="37" borderId="19" xfId="0" applyFont="1" applyFill="1" applyBorder="1" applyAlignment="1">
      <alignment horizontal="right"/>
    </xf>
    <xf numFmtId="0" fontId="4" fillId="37" borderId="0" xfId="0" applyFont="1" applyFill="1" applyAlignment="1">
      <alignment horizontal="right" vertical="center"/>
    </xf>
    <xf numFmtId="0" fontId="4" fillId="37" borderId="0" xfId="0" applyFont="1" applyFill="1" applyAlignment="1">
      <alignment horizontal="right"/>
    </xf>
    <xf numFmtId="0" fontId="11" fillId="16" borderId="18" xfId="0" applyFont="1" applyFill="1" applyBorder="1" applyAlignment="1">
      <alignment vertical="center" wrapText="1"/>
    </xf>
    <xf numFmtId="0" fontId="11" fillId="16" borderId="19" xfId="0" applyFont="1" applyFill="1" applyBorder="1" applyAlignment="1">
      <alignment vertical="center"/>
    </xf>
    <xf numFmtId="0" fontId="11" fillId="16" borderId="13" xfId="0" applyFont="1" applyFill="1" applyBorder="1" applyAlignment="1">
      <alignment vertical="center"/>
    </xf>
    <xf numFmtId="4" fontId="0" fillId="23" borderId="4" xfId="0" applyNumberFormat="1" applyFill="1" applyBorder="1" applyAlignment="1">
      <alignment wrapText="1"/>
    </xf>
    <xf numFmtId="0" fontId="0" fillId="23" borderId="0" xfId="0" applyFill="1"/>
    <xf numFmtId="0" fontId="0" fillId="23" borderId="5" xfId="0" applyFill="1" applyBorder="1"/>
    <xf numFmtId="0" fontId="10" fillId="2" borderId="24" xfId="0" applyFont="1" applyFill="1" applyBorder="1" applyAlignment="1">
      <alignment vertical="center" wrapText="1"/>
    </xf>
    <xf numFmtId="0" fontId="4" fillId="0" borderId="19" xfId="0" applyFont="1" applyBorder="1" applyAlignment="1">
      <alignment horizontal="right" vertical="center"/>
    </xf>
    <xf numFmtId="0" fontId="4" fillId="0" borderId="19" xfId="0" applyFont="1" applyBorder="1" applyAlignment="1">
      <alignment horizontal="right"/>
    </xf>
    <xf numFmtId="0" fontId="4" fillId="0" borderId="17" xfId="0" applyFont="1" applyBorder="1" applyAlignment="1">
      <alignment horizontal="right" vertical="center"/>
    </xf>
    <xf numFmtId="0" fontId="4" fillId="0" borderId="17" xfId="0" applyFont="1" applyBorder="1" applyAlignment="1">
      <alignment horizontal="right"/>
    </xf>
    <xf numFmtId="1" fontId="17" fillId="25" borderId="0" xfId="0" applyNumberFormat="1" applyFont="1" applyFill="1" applyAlignment="1">
      <alignment horizontal="center" wrapText="1"/>
    </xf>
    <xf numFmtId="0" fontId="11" fillId="25" borderId="0" xfId="0" applyFont="1" applyFill="1"/>
    <xf numFmtId="0" fontId="0" fillId="0" borderId="0" xfId="0"/>
    <xf numFmtId="0" fontId="15" fillId="27" borderId="0" xfId="73" applyFont="1" applyFill="1" applyAlignment="1">
      <alignment wrapText="1"/>
    </xf>
    <xf numFmtId="0" fontId="15" fillId="27" borderId="0" xfId="73" applyFont="1" applyFill="1"/>
    <xf numFmtId="0" fontId="42" fillId="23" borderId="0" xfId="73" applyFont="1" applyFill="1" applyAlignment="1">
      <alignment horizontal="right" vertical="center" wrapText="1"/>
    </xf>
    <xf numFmtId="0" fontId="5" fillId="23" borderId="0" xfId="73" applyFill="1" applyAlignment="1">
      <alignment horizontal="right" vertical="center"/>
    </xf>
    <xf numFmtId="0" fontId="9" fillId="23" borderId="10" xfId="73" applyFont="1" applyFill="1" applyBorder="1" applyAlignment="1">
      <alignment vertical="center"/>
    </xf>
    <xf numFmtId="0" fontId="5" fillId="23" borderId="10" xfId="73" applyFill="1" applyBorder="1" applyAlignment="1">
      <alignment vertical="center"/>
    </xf>
    <xf numFmtId="0" fontId="5" fillId="23" borderId="10" xfId="73" applyFill="1" applyBorder="1"/>
    <xf numFmtId="0" fontId="11" fillId="4" borderId="23" xfId="73" applyFont="1" applyFill="1" applyBorder="1" applyAlignment="1">
      <alignment horizontal="center" wrapText="1"/>
    </xf>
    <xf numFmtId="0" fontId="49" fillId="0" borderId="23" xfId="0" applyFont="1" applyBorder="1" applyAlignment="1">
      <alignment horizontal="center"/>
    </xf>
    <xf numFmtId="165" fontId="0" fillId="3" borderId="1" xfId="0" applyNumberFormat="1" applyFill="1" applyBorder="1" applyAlignment="1">
      <alignment wrapText="1"/>
    </xf>
    <xf numFmtId="0" fontId="0" fillId="0" borderId="23" xfId="0" applyBorder="1"/>
    <xf numFmtId="0" fontId="0" fillId="0" borderId="20" xfId="0" applyBorder="1"/>
    <xf numFmtId="165" fontId="0" fillId="0" borderId="0" xfId="0" applyNumberFormat="1" applyAlignment="1">
      <alignment wrapText="1"/>
    </xf>
  </cellXfs>
  <cellStyles count="82">
    <cellStyle name="20% - Accent5" xfId="74" builtinId="46"/>
    <cellStyle name="20% - Accent5 2" xfId="77" xr:uid="{00000000-0005-0000-0000-000001000000}"/>
    <cellStyle name="20% - Accent6" xfId="75" builtinId="50"/>
    <cellStyle name="20% - Accent6 2" xfId="78" xr:uid="{00000000-0005-0000-0000-000003000000}"/>
    <cellStyle name="Currency" xfId="80" builtinId="4"/>
    <cellStyle name="Followed Hyperlink" xfId="72" builtinId="9" hidden="1"/>
    <cellStyle name="Followed Hyperlink" xfId="70" builtinId="9" hidden="1"/>
    <cellStyle name="Followed Hyperlink" xfId="34" builtinId="9" hidden="1"/>
    <cellStyle name="Followed Hyperlink" xfId="14" builtinId="9" hidden="1"/>
    <cellStyle name="Followed Hyperlink" xfId="16" builtinId="9" hidden="1"/>
    <cellStyle name="Followed Hyperlink" xfId="20" builtinId="9" hidden="1"/>
    <cellStyle name="Followed Hyperlink" xfId="10" builtinId="9" hidden="1"/>
    <cellStyle name="Followed Hyperlink" xfId="8" builtinId="9" hidden="1"/>
    <cellStyle name="Followed Hyperlink" xfId="6" builtinId="9" hidden="1"/>
    <cellStyle name="Followed Hyperlink" xfId="26" builtinId="9" hidden="1"/>
    <cellStyle name="Followed Hyperlink" xfId="58" builtinId="9" hidden="1"/>
    <cellStyle name="Followed Hyperlink" xfId="62" builtinId="9" hidden="1"/>
    <cellStyle name="Followed Hyperlink" xfId="32" builtinId="9" hidden="1"/>
    <cellStyle name="Followed Hyperlink" xfId="36" builtinId="9" hidden="1"/>
    <cellStyle name="Followed Hyperlink" xfId="38" builtinId="9" hidden="1"/>
    <cellStyle name="Followed Hyperlink" xfId="44" builtinId="9" hidden="1"/>
    <cellStyle name="Followed Hyperlink" xfId="46" builtinId="9" hidden="1"/>
    <cellStyle name="Followed Hyperlink" xfId="30" builtinId="9" hidden="1"/>
    <cellStyle name="Followed Hyperlink" xfId="28" builtinId="9" hidden="1"/>
    <cellStyle name="Followed Hyperlink" xfId="24" builtinId="9" hidden="1"/>
    <cellStyle name="Followed Hyperlink" xfId="40" builtinId="9" hidden="1"/>
    <cellStyle name="Followed Hyperlink" xfId="52" builtinId="9" hidden="1"/>
    <cellStyle name="Followed Hyperlink" xfId="18" builtinId="9" hidden="1"/>
    <cellStyle name="Followed Hyperlink" xfId="22" builtinId="9" hidden="1"/>
    <cellStyle name="Followed Hyperlink" xfId="12" builtinId="9" hidden="1"/>
    <cellStyle name="Followed Hyperlink" xfId="60" builtinId="9" hidden="1"/>
    <cellStyle name="Followed Hyperlink" xfId="64" builtinId="9" hidden="1"/>
    <cellStyle name="Followed Hyperlink" xfId="68" builtinId="9" hidden="1"/>
    <cellStyle name="Followed Hyperlink" xfId="66" builtinId="9" hidden="1"/>
    <cellStyle name="Followed Hyperlink" xfId="50" builtinId="9" hidden="1"/>
    <cellStyle name="Followed Hyperlink" xfId="42" builtinId="9" hidden="1"/>
    <cellStyle name="Followed Hyperlink" xfId="56" builtinId="9" hidden="1"/>
    <cellStyle name="Followed Hyperlink" xfId="48" builtinId="9" hidden="1"/>
    <cellStyle name="Followed Hyperlink" xfId="54" builtinId="9" hidden="1"/>
    <cellStyle name="Followed Hyperlink" xfId="4" builtinId="9" hidden="1"/>
    <cellStyle name="Followed Hyperlink" xfId="2" builtinId="9" hidden="1"/>
    <cellStyle name="Hyperlink" xfId="53" builtinId="8" hidden="1"/>
    <cellStyle name="Hyperlink" xfId="67" builtinId="8" hidden="1"/>
    <cellStyle name="Hyperlink" xfId="71" builtinId="8" hidden="1"/>
    <cellStyle name="Hyperlink" xfId="69" builtinId="8" hidden="1"/>
    <cellStyle name="Hyperlink" xfId="57" builtinId="8" hidden="1"/>
    <cellStyle name="Hyperlink" xfId="59" builtinId="8" hidden="1"/>
    <cellStyle name="Hyperlink" xfId="63" builtinId="8" hidden="1"/>
    <cellStyle name="Hyperlink" xfId="51" builtinId="8" hidden="1"/>
    <cellStyle name="Hyperlink" xfId="55" builtinId="8" hidden="1"/>
    <cellStyle name="Hyperlink" xfId="61" builtinId="8" hidden="1"/>
    <cellStyle name="Hyperlink" xfId="65"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43" builtinId="8" hidden="1"/>
    <cellStyle name="Hyperlink" xfId="45" builtinId="8" hidden="1"/>
    <cellStyle name="Hyperlink" xfId="47" builtinId="8" hidden="1"/>
    <cellStyle name="Hyperlink" xfId="49" builtinId="8" hidden="1"/>
    <cellStyle name="Hyperlink" xfId="37" builtinId="8" hidden="1"/>
    <cellStyle name="Hyperlink" xfId="39" builtinId="8" hidden="1"/>
    <cellStyle name="Hyperlink" xfId="41" builtinId="8" hidden="1"/>
    <cellStyle name="Hyperlink" xfId="11" builtinId="8" hidden="1"/>
    <cellStyle name="Hyperlink" xfId="7" builtinId="8" hidden="1"/>
    <cellStyle name="Hyperlink" xfId="9" builtinId="8" hidden="1"/>
    <cellStyle name="Hyperlink" xfId="1" builtinId="8" hidden="1"/>
    <cellStyle name="Hyperlink" xfId="3" builtinId="8" hidden="1"/>
    <cellStyle name="Hyperlink" xfId="19" builtinId="8" hidden="1"/>
    <cellStyle name="Hyperlink" xfId="15" builtinId="8" hidden="1"/>
    <cellStyle name="Hyperlink" xfId="17" builtinId="8" hidden="1"/>
    <cellStyle name="Hyperlink" xfId="5" builtinId="8" hidden="1"/>
    <cellStyle name="Hyperlink" xfId="13" builtinId="8" hidden="1"/>
    <cellStyle name="Hyperlink" xfId="21" builtinId="8" hidden="1"/>
    <cellStyle name="Normal" xfId="0" builtinId="0"/>
    <cellStyle name="Normal 2" xfId="73" xr:uid="{00000000-0005-0000-0000-00004E000000}"/>
    <cellStyle name="Normal 3" xfId="76" xr:uid="{00000000-0005-0000-0000-00004F000000}"/>
    <cellStyle name="Normal 4" xfId="79" xr:uid="{00000000-0005-0000-0000-000050000000}"/>
    <cellStyle name="Percent" xfId="81" builtinId="5"/>
  </cellStyles>
  <dxfs count="0"/>
  <tableStyles count="0" defaultTableStyle="TableStyleMedium9" defaultPivotStyle="PivotStyleMedium4"/>
  <colors>
    <mruColors>
      <color rgb="FFFF99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3</xdr:row>
          <xdr:rowOff>12700</xdr:rowOff>
        </xdr:from>
        <xdr:to>
          <xdr:col>1</xdr:col>
          <xdr:colOff>12700</xdr:colOff>
          <xdr:row>4</xdr:row>
          <xdr:rowOff>0</xdr:rowOff>
        </xdr:to>
        <xdr:sp macro="" textlink="">
          <xdr:nvSpPr>
            <xdr:cNvPr id="39937" name="Button 1" hidden="1">
              <a:extLst>
                <a:ext uri="{63B3BB69-23CF-44E3-9099-C40C66FF867C}">
                  <a14:compatExt spid="_x0000_s39937"/>
                </a:ext>
                <a:ext uri="{FF2B5EF4-FFF2-40B4-BE49-F238E27FC236}">
                  <a16:creationId xmlns:a16="http://schemas.microsoft.com/office/drawing/2014/main" id="{00000000-0008-0000-1000-0000019C0000}"/>
                </a:ext>
              </a:extLst>
            </xdr:cNvPr>
            <xdr:cNvSpPr/>
          </xdr:nvSpPr>
          <xdr:spPr bwMode="auto">
            <a:xfrm>
              <a:off x="0" y="0"/>
              <a:ext cx="0" cy="0"/>
            </a:xfrm>
            <a:prstGeom prst="rect">
              <a:avLst/>
            </a:prstGeom>
            <a:noFill/>
            <a:ln w="9525">
              <a:miter lim="800000"/>
              <a:headEnd/>
              <a:tailEnd/>
            </a:ln>
          </xdr:spPr>
          <xdr:txBody>
            <a:bodyPr vertOverflow="clip" wrap="square" lIns="54864" tIns="36576" rIns="54864" bIns="36576" anchor="ctr" upright="1"/>
            <a:lstStyle/>
            <a:p>
              <a:pPr algn="ctr" rtl="0">
                <a:defRPr sz="1000"/>
              </a:pPr>
              <a:r>
                <a:rPr lang="en-US" sz="1000" b="0" i="0" u="none" strike="noStrike" baseline="0">
                  <a:solidFill>
                    <a:srgbClr val="000000"/>
                  </a:solidFill>
                  <a:latin typeface="Verdana"/>
                  <a:ea typeface="Verdana"/>
                </a:rPr>
                <a:t>Save Line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7RMaden/Desktop/Nutrient%20Management/Nutrient%20Caclulations&#61474;%20spreadsheets/Nutrient%20Caclulations:%20spreadsheets/Fertlizer%20Calculator%20-%20BACKUP%204.16.xlsm" TargetMode="External"/><Relationship Id="rId1" Type="http://schemas.openxmlformats.org/officeDocument/2006/relationships/externalLinkPath" Target="/Users/97RMaden/Desktop/Nutrient%20Management/Nutrient%20Caclulations&#61474;%20spreadsheets/Nutrient%20Caclulations:%20spreadsheets/Fertlizer%20Calculator%20-%20BACKUP%204.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EP 1--Field Information"/>
      <sheetName val="STEP 2--Soil Test Information"/>
      <sheetName val="Veg rec lookup"/>
      <sheetName val="STEP 3--Nutrient Needs"/>
      <sheetName val="Crop look up"/>
      <sheetName val="STEP 4--Choose N"/>
      <sheetName val="N lookup"/>
      <sheetName val="STEP 5--Choose P"/>
      <sheetName val="P lookup"/>
      <sheetName val="STEP 6--Choose K"/>
      <sheetName val="K lookup"/>
      <sheetName val="STEP 7--Fertilizer Needed"/>
      <sheetName val="Farm Fertility Plan"/>
      <sheetName val="Cost per pound of Nutri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3.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pageSetUpPr fitToPage="1"/>
  </sheetPr>
  <dimension ref="A1:F70"/>
  <sheetViews>
    <sheetView view="pageLayout" zoomScale="80" zoomScaleNormal="100" zoomScalePageLayoutView="80" workbookViewId="0">
      <selection activeCell="E14" sqref="E14"/>
    </sheetView>
  </sheetViews>
  <sheetFormatPr defaultColWidth="11" defaultRowHeight="12.35" x14ac:dyDescent="0.35"/>
  <cols>
    <col min="1" max="1" width="19.1015625" customWidth="1"/>
    <col min="4" max="4" width="21.3671875" customWidth="1"/>
    <col min="5" max="5" width="19.89453125" customWidth="1"/>
    <col min="6" max="6" width="4" hidden="1" customWidth="1"/>
    <col min="7" max="7" width="11" customWidth="1"/>
  </cols>
  <sheetData>
    <row r="1" spans="1:6" ht="57.95" customHeight="1" x14ac:dyDescent="0.35">
      <c r="A1" s="343" t="s">
        <v>0</v>
      </c>
      <c r="B1" s="343"/>
      <c r="C1" s="343"/>
      <c r="D1" s="343"/>
      <c r="E1" s="343"/>
      <c r="F1" s="343"/>
    </row>
    <row r="2" spans="1:6" ht="12.7" thickBot="1" x14ac:dyDescent="0.4">
      <c r="A2" s="1"/>
      <c r="B2" s="1"/>
      <c r="C2" s="1"/>
      <c r="D2" s="1"/>
      <c r="E2" s="1"/>
      <c r="F2" s="1"/>
    </row>
    <row r="3" spans="1:6" ht="15.35" x14ac:dyDescent="0.45">
      <c r="A3" s="96"/>
      <c r="B3" s="97"/>
      <c r="C3" s="97"/>
      <c r="D3" s="107"/>
      <c r="E3" s="108"/>
    </row>
    <row r="4" spans="1:6" ht="15.35" x14ac:dyDescent="0.45">
      <c r="A4" s="111"/>
      <c r="B4" s="1"/>
      <c r="C4" s="1"/>
      <c r="D4" s="109" t="s">
        <v>1</v>
      </c>
      <c r="E4" s="112"/>
    </row>
    <row r="5" spans="1:6" ht="15.35" x14ac:dyDescent="0.45">
      <c r="A5" s="38"/>
      <c r="B5" s="41"/>
      <c r="C5" s="42"/>
      <c r="E5" s="98"/>
      <c r="F5" s="248" t="s">
        <v>2</v>
      </c>
    </row>
    <row r="6" spans="1:6" ht="15.35" x14ac:dyDescent="0.45">
      <c r="A6" s="111"/>
      <c r="B6" s="41"/>
      <c r="C6" s="42"/>
      <c r="D6" s="110" t="s">
        <v>3</v>
      </c>
      <c r="E6" s="99"/>
      <c r="F6" s="248"/>
    </row>
    <row r="7" spans="1:6" ht="15.35" x14ac:dyDescent="0.45">
      <c r="A7" s="38"/>
      <c r="B7" s="41"/>
      <c r="C7" s="42"/>
      <c r="D7" s="42"/>
      <c r="E7" s="100"/>
      <c r="F7" s="248"/>
    </row>
    <row r="8" spans="1:6" ht="30" customHeight="1" x14ac:dyDescent="0.45">
      <c r="A8" s="344" t="s">
        <v>4</v>
      </c>
      <c r="B8" s="346"/>
      <c r="C8" s="346"/>
      <c r="D8" s="345"/>
      <c r="E8" s="99"/>
      <c r="F8" s="248"/>
    </row>
    <row r="9" spans="1:6" ht="15.35" x14ac:dyDescent="0.45">
      <c r="A9" s="38"/>
      <c r="B9" s="41"/>
      <c r="C9" s="42"/>
      <c r="D9" s="42"/>
      <c r="E9" s="100"/>
      <c r="F9" s="248"/>
    </row>
    <row r="10" spans="1:6" ht="32.25" customHeight="1" x14ac:dyDescent="0.45">
      <c r="A10" s="344" t="s">
        <v>5</v>
      </c>
      <c r="B10" s="345"/>
      <c r="C10" s="345"/>
      <c r="D10" s="345"/>
      <c r="E10" s="99"/>
      <c r="F10" s="248"/>
    </row>
    <row r="11" spans="1:6" ht="15.35" x14ac:dyDescent="0.45">
      <c r="A11" s="38"/>
      <c r="B11" s="41"/>
      <c r="C11" s="42"/>
      <c r="D11" s="42"/>
      <c r="E11" s="100"/>
      <c r="F11" s="248"/>
    </row>
    <row r="12" spans="1:6" ht="15.35" x14ac:dyDescent="0.45">
      <c r="A12" s="143" t="s">
        <v>6</v>
      </c>
      <c r="B12" s="141"/>
      <c r="C12" s="142"/>
      <c r="D12" s="142"/>
      <c r="E12" s="147"/>
      <c r="F12" s="248"/>
    </row>
    <row r="13" spans="1:6" ht="15.35" x14ac:dyDescent="0.45">
      <c r="A13" s="102" t="s">
        <v>7</v>
      </c>
      <c r="B13" s="103"/>
      <c r="C13" s="104"/>
      <c r="D13" s="104"/>
      <c r="E13" s="99"/>
      <c r="F13" s="12">
        <f>E13</f>
        <v>0</v>
      </c>
    </row>
    <row r="14" spans="1:6" ht="15.35" x14ac:dyDescent="0.45">
      <c r="A14" s="101" t="s">
        <v>8</v>
      </c>
      <c r="B14" s="36"/>
      <c r="C14" s="36"/>
      <c r="D14" s="36"/>
      <c r="E14" s="37"/>
      <c r="F14" s="13"/>
    </row>
    <row r="15" spans="1:6" ht="15.35" x14ac:dyDescent="0.45">
      <c r="A15" s="102" t="s">
        <v>9</v>
      </c>
      <c r="B15" s="103"/>
      <c r="C15" s="104"/>
      <c r="D15" s="104"/>
      <c r="E15" s="99"/>
    </row>
    <row r="16" spans="1:6" ht="15.35" x14ac:dyDescent="0.45">
      <c r="B16" s="148" t="s">
        <v>10</v>
      </c>
      <c r="E16" s="98"/>
      <c r="F16" s="13"/>
    </row>
    <row r="17" spans="1:6" ht="15.35" x14ac:dyDescent="0.45">
      <c r="A17" s="38"/>
      <c r="B17" s="144" t="s">
        <v>11</v>
      </c>
      <c r="C17" s="104"/>
      <c r="D17" s="104"/>
      <c r="E17" s="99"/>
      <c r="F17" s="13"/>
    </row>
    <row r="18" spans="1:6" ht="15.35" x14ac:dyDescent="0.45">
      <c r="A18" s="38"/>
      <c r="B18" s="36"/>
      <c r="C18" s="153" t="s">
        <v>10</v>
      </c>
      <c r="D18" s="42"/>
      <c r="E18" s="100"/>
      <c r="F18" s="13"/>
    </row>
    <row r="19" spans="1:6" ht="15.35" x14ac:dyDescent="0.45">
      <c r="A19" s="38"/>
      <c r="B19" s="36"/>
      <c r="C19" s="104" t="s">
        <v>12</v>
      </c>
      <c r="D19" s="104"/>
      <c r="E19" s="99"/>
      <c r="F19" s="13"/>
    </row>
    <row r="20" spans="1:6" ht="15.35" x14ac:dyDescent="0.45">
      <c r="A20" s="101" t="s">
        <v>8</v>
      </c>
      <c r="E20" s="98"/>
      <c r="F20" s="13">
        <f>(E15*E17*E19)/43560</f>
        <v>0</v>
      </c>
    </row>
    <row r="21" spans="1:6" ht="15.7" thickBot="1" x14ac:dyDescent="0.5">
      <c r="A21" s="145" t="s">
        <v>13</v>
      </c>
      <c r="B21" s="146"/>
      <c r="C21" s="105"/>
      <c r="D21" s="105"/>
      <c r="E21" s="106"/>
      <c r="F21" s="13">
        <f>E21/43560</f>
        <v>0</v>
      </c>
    </row>
    <row r="22" spans="1:6" ht="15.35" x14ac:dyDescent="0.45">
      <c r="B22" s="36"/>
      <c r="C22" s="36"/>
      <c r="D22" s="36"/>
      <c r="E22" s="36"/>
      <c r="F22" s="13"/>
    </row>
    <row r="23" spans="1:6" hidden="1" x14ac:dyDescent="0.35">
      <c r="F23" s="140">
        <f>F13+F21+F20</f>
        <v>0</v>
      </c>
    </row>
    <row r="24" spans="1:6" hidden="1" x14ac:dyDescent="0.35"/>
    <row r="25" spans="1:6" hidden="1" x14ac:dyDescent="0.35">
      <c r="A25" s="176" t="s">
        <v>14</v>
      </c>
    </row>
    <row r="26" spans="1:6" ht="25.35" hidden="1" x14ac:dyDescent="0.4">
      <c r="A26" s="177" t="s">
        <v>15</v>
      </c>
      <c r="C26" s="43" t="s">
        <v>16</v>
      </c>
    </row>
    <row r="27" spans="1:6" ht="12.7" hidden="1" x14ac:dyDescent="0.4">
      <c r="A27" s="177" t="s">
        <v>17</v>
      </c>
      <c r="C27" s="43" t="s">
        <v>18</v>
      </c>
    </row>
    <row r="28" spans="1:6" ht="25.35" hidden="1" x14ac:dyDescent="0.4">
      <c r="A28" s="177" t="s">
        <v>19</v>
      </c>
      <c r="C28" s="43" t="s">
        <v>20</v>
      </c>
    </row>
    <row r="29" spans="1:6" ht="12.7" hidden="1" x14ac:dyDescent="0.4">
      <c r="A29" s="177" t="s">
        <v>21</v>
      </c>
      <c r="C29" s="43" t="s">
        <v>22</v>
      </c>
    </row>
    <row r="30" spans="1:6" ht="12.7" hidden="1" x14ac:dyDescent="0.4">
      <c r="A30" s="177" t="s">
        <v>23</v>
      </c>
      <c r="C30" s="43" t="s">
        <v>24</v>
      </c>
    </row>
    <row r="31" spans="1:6" ht="38" hidden="1" x14ac:dyDescent="0.4">
      <c r="A31" s="179" t="s">
        <v>25</v>
      </c>
      <c r="C31" s="43" t="s">
        <v>26</v>
      </c>
    </row>
    <row r="32" spans="1:6" ht="25.35" hidden="1" x14ac:dyDescent="0.4">
      <c r="A32" s="177" t="s">
        <v>27</v>
      </c>
      <c r="C32" s="43" t="s">
        <v>28</v>
      </c>
    </row>
    <row r="33" spans="1:3" ht="12.7" hidden="1" x14ac:dyDescent="0.4">
      <c r="A33" s="177" t="s">
        <v>29</v>
      </c>
      <c r="C33" s="43" t="s">
        <v>30</v>
      </c>
    </row>
    <row r="34" spans="1:3" ht="12.7" hidden="1" x14ac:dyDescent="0.4">
      <c r="A34" s="177" t="s">
        <v>31</v>
      </c>
      <c r="C34" s="43" t="s">
        <v>32</v>
      </c>
    </row>
    <row r="35" spans="1:3" ht="25.35" hidden="1" x14ac:dyDescent="0.4">
      <c r="A35" s="177" t="s">
        <v>33</v>
      </c>
      <c r="C35" s="43" t="s">
        <v>34</v>
      </c>
    </row>
    <row r="36" spans="1:3" ht="38" hidden="1" x14ac:dyDescent="0.4">
      <c r="A36" s="177" t="s">
        <v>35</v>
      </c>
      <c r="C36" s="43" t="s">
        <v>36</v>
      </c>
    </row>
    <row r="37" spans="1:3" ht="12.7" hidden="1" x14ac:dyDescent="0.4">
      <c r="A37" s="179" t="s">
        <v>37</v>
      </c>
      <c r="C37" s="43" t="s">
        <v>38</v>
      </c>
    </row>
    <row r="38" spans="1:3" ht="12.7" hidden="1" x14ac:dyDescent="0.4">
      <c r="A38" s="177" t="s">
        <v>39</v>
      </c>
      <c r="C38" s="43" t="s">
        <v>40</v>
      </c>
    </row>
    <row r="39" spans="1:3" ht="12.7" hidden="1" x14ac:dyDescent="0.4">
      <c r="A39" s="177" t="s">
        <v>41</v>
      </c>
      <c r="C39" s="43" t="s">
        <v>42</v>
      </c>
    </row>
    <row r="40" spans="1:3" ht="12.7" hidden="1" x14ac:dyDescent="0.4">
      <c r="A40" s="177" t="s">
        <v>43</v>
      </c>
      <c r="C40" s="43"/>
    </row>
    <row r="41" spans="1:3" hidden="1" x14ac:dyDescent="0.35">
      <c r="A41" s="177" t="s">
        <v>44</v>
      </c>
    </row>
    <row r="42" spans="1:3" hidden="1" x14ac:dyDescent="0.35">
      <c r="A42" s="177" t="s">
        <v>45</v>
      </c>
    </row>
    <row r="43" spans="1:3" hidden="1" x14ac:dyDescent="0.35">
      <c r="A43" s="177" t="s">
        <v>46</v>
      </c>
    </row>
    <row r="44" spans="1:3" hidden="1" x14ac:dyDescent="0.35">
      <c r="A44" s="177" t="s">
        <v>47</v>
      </c>
    </row>
    <row r="45" spans="1:3" hidden="1" x14ac:dyDescent="0.35">
      <c r="A45" s="177" t="s">
        <v>48</v>
      </c>
    </row>
    <row r="46" spans="1:3" hidden="1" x14ac:dyDescent="0.35">
      <c r="A46" s="177" t="s">
        <v>49</v>
      </c>
    </row>
    <row r="47" spans="1:3" hidden="1" x14ac:dyDescent="0.35">
      <c r="A47" s="177" t="s">
        <v>50</v>
      </c>
    </row>
    <row r="48" spans="1:3" hidden="1" x14ac:dyDescent="0.35">
      <c r="A48" s="177" t="s">
        <v>51</v>
      </c>
    </row>
    <row r="49" spans="1:1" hidden="1" x14ac:dyDescent="0.35">
      <c r="A49" s="177" t="s">
        <v>52</v>
      </c>
    </row>
    <row r="50" spans="1:1" hidden="1" x14ac:dyDescent="0.35">
      <c r="A50" s="177" t="s">
        <v>53</v>
      </c>
    </row>
    <row r="51" spans="1:1" hidden="1" x14ac:dyDescent="0.35">
      <c r="A51" s="177" t="s">
        <v>54</v>
      </c>
    </row>
    <row r="52" spans="1:1" hidden="1" x14ac:dyDescent="0.35">
      <c r="A52" s="177" t="s">
        <v>55</v>
      </c>
    </row>
    <row r="53" spans="1:1" hidden="1" x14ac:dyDescent="0.35">
      <c r="A53" s="177" t="s">
        <v>56</v>
      </c>
    </row>
    <row r="54" spans="1:1" hidden="1" x14ac:dyDescent="0.35">
      <c r="A54" s="177" t="s">
        <v>57</v>
      </c>
    </row>
    <row r="55" spans="1:1" hidden="1" x14ac:dyDescent="0.35">
      <c r="A55" s="177" t="s">
        <v>58</v>
      </c>
    </row>
    <row r="56" spans="1:1" hidden="1" x14ac:dyDescent="0.35">
      <c r="A56" s="177" t="s">
        <v>59</v>
      </c>
    </row>
    <row r="57" spans="1:1" hidden="1" x14ac:dyDescent="0.35">
      <c r="A57" s="177" t="s">
        <v>60</v>
      </c>
    </row>
    <row r="58" spans="1:1" hidden="1" x14ac:dyDescent="0.35">
      <c r="A58" s="177" t="s">
        <v>61</v>
      </c>
    </row>
    <row r="59" spans="1:1" hidden="1" x14ac:dyDescent="0.35">
      <c r="A59" s="177" t="s">
        <v>62</v>
      </c>
    </row>
    <row r="60" spans="1:1" hidden="1" x14ac:dyDescent="0.35">
      <c r="A60" s="177" t="s">
        <v>63</v>
      </c>
    </row>
    <row r="61" spans="1:1" hidden="1" x14ac:dyDescent="0.35">
      <c r="A61" s="177" t="s">
        <v>64</v>
      </c>
    </row>
    <row r="62" spans="1:1" hidden="1" x14ac:dyDescent="0.35">
      <c r="A62" s="177" t="s">
        <v>65</v>
      </c>
    </row>
    <row r="63" spans="1:1" hidden="1" x14ac:dyDescent="0.35">
      <c r="A63" s="177" t="s">
        <v>66</v>
      </c>
    </row>
    <row r="64" spans="1:1" hidden="1" x14ac:dyDescent="0.35">
      <c r="A64" s="177" t="s">
        <v>67</v>
      </c>
    </row>
    <row r="65" spans="1:1" hidden="1" x14ac:dyDescent="0.35">
      <c r="A65" s="177" t="s">
        <v>68</v>
      </c>
    </row>
    <row r="66" spans="1:1" hidden="1" x14ac:dyDescent="0.35">
      <c r="A66" s="177" t="s">
        <v>69</v>
      </c>
    </row>
    <row r="67" spans="1:1" hidden="1" x14ac:dyDescent="0.35"/>
    <row r="68" spans="1:1" hidden="1" x14ac:dyDescent="0.35">
      <c r="A68" s="177" t="s">
        <v>70</v>
      </c>
    </row>
    <row r="69" spans="1:1" hidden="1" x14ac:dyDescent="0.35">
      <c r="A69" s="177" t="s">
        <v>71</v>
      </c>
    </row>
    <row r="70" spans="1:1" hidden="1" x14ac:dyDescent="0.35"/>
  </sheetData>
  <mergeCells count="3">
    <mergeCell ref="A1:F1"/>
    <mergeCell ref="A10:D10"/>
    <mergeCell ref="A8:D8"/>
  </mergeCells>
  <phoneticPr fontId="6" type="noConversion"/>
  <dataValidations xWindow="635" yWindow="460" count="2">
    <dataValidation type="list" allowBlank="1" showInputMessage="1" showErrorMessage="1" promptTitle="Select" prompt="cover crop" sqref="E10" xr:uid="{00000000-0002-0000-0000-000000000000}">
      <formula1>$C$26:$C$39</formula1>
    </dataValidation>
    <dataValidation type="list" allowBlank="1" showInputMessage="1" showErrorMessage="1" promptTitle="Select" prompt="Crop planned" sqref="E8" xr:uid="{00000000-0002-0000-0000-000001000000}">
      <formula1>$A$25:$A$69</formula1>
    </dataValidation>
  </dataValidations>
  <pageMargins left="0.75" right="0.75" top="1" bottom="1" header="0.5" footer="0.5"/>
  <pageSetup orientation="landscape" horizontalDpi="4294967292" verticalDpi="4294967292" r:id="rId1"/>
  <headerFooter>
    <oddHeader>&amp;L &amp;"Verdana,Bold"&amp;14Enter Field Information&amp;RFertilizer Calculator
by Rebecca Maden, UVM Extension
updated 3/22/2023</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9966"/>
    <pageSetUpPr fitToPage="1"/>
  </sheetPr>
  <dimension ref="A1:J32"/>
  <sheetViews>
    <sheetView showGridLines="0" showRowColHeaders="0" showRuler="0" view="pageLayout" topLeftCell="A2" zoomScale="70" zoomScalePageLayoutView="70" workbookViewId="0">
      <selection activeCell="E2" sqref="E2:G2"/>
    </sheetView>
  </sheetViews>
  <sheetFormatPr defaultColWidth="11" defaultRowHeight="12.35" x14ac:dyDescent="0.35"/>
  <cols>
    <col min="1" max="1" width="23.62890625" style="31" customWidth="1"/>
    <col min="2" max="2" width="6.62890625" style="17" bestFit="1" customWidth="1"/>
    <col min="3" max="3" width="7.734375" style="2" customWidth="1"/>
    <col min="4" max="4" width="8.47265625" style="2" bestFit="1" customWidth="1"/>
    <col min="5" max="5" width="7.26171875" style="2" bestFit="1" customWidth="1"/>
    <col min="6" max="6" width="6.1015625" style="2" customWidth="1"/>
    <col min="7" max="7" width="6.3671875" style="2" customWidth="1"/>
    <col min="8" max="8" width="10.1015625" style="33" customWidth="1"/>
    <col min="9" max="9" width="11.734375" style="14" customWidth="1"/>
    <col min="10" max="10" width="11" style="14"/>
  </cols>
  <sheetData>
    <row r="1" spans="1:10" ht="75" customHeight="1" thickBot="1" x14ac:dyDescent="0.4">
      <c r="A1" s="354" t="s">
        <v>196</v>
      </c>
      <c r="B1" s="355"/>
      <c r="C1" s="355"/>
      <c r="D1" s="355"/>
      <c r="E1" s="355"/>
      <c r="F1" s="355"/>
      <c r="G1" s="355"/>
      <c r="H1" s="355"/>
      <c r="I1" s="355"/>
      <c r="J1" s="356"/>
    </row>
    <row r="2" spans="1:10" ht="44.45" customHeight="1" x14ac:dyDescent="0.35">
      <c r="A2" s="374" t="s">
        <v>197</v>
      </c>
      <c r="B2" s="375"/>
      <c r="C2" s="375"/>
      <c r="D2" s="376"/>
      <c r="E2" s="380" t="s">
        <v>198</v>
      </c>
      <c r="F2" s="358"/>
      <c r="G2" s="360"/>
      <c r="H2" s="133"/>
      <c r="I2" s="136"/>
      <c r="J2" s="136"/>
    </row>
    <row r="3" spans="1:10" ht="33" customHeight="1" x14ac:dyDescent="0.35">
      <c r="A3" s="381" t="s">
        <v>199</v>
      </c>
      <c r="B3" s="382"/>
      <c r="C3" s="382"/>
      <c r="D3" s="158" t="e">
        <f>VLOOKUP('STEP 4--Choose N'!D2,'N lookup'!A2:Q47,13,FALSE)+VLOOKUP('STEP 5--Choose P'!D2,'P lookup'!A2:L16,12,FALSE)</f>
        <v>#N/A</v>
      </c>
      <c r="E3" s="164" t="s">
        <v>200</v>
      </c>
      <c r="F3" s="133"/>
      <c r="G3" s="133"/>
      <c r="H3" s="133"/>
      <c r="I3" s="136"/>
      <c r="J3" s="136"/>
    </row>
    <row r="4" spans="1:10" ht="30.95" customHeight="1" thickBot="1" x14ac:dyDescent="0.4">
      <c r="A4" s="383" t="s">
        <v>201</v>
      </c>
      <c r="B4" s="384"/>
      <c r="C4" s="384"/>
      <c r="D4" s="163" t="e">
        <f>('STEP 3--Nutrient Needs'!E11)-(VLOOKUP('STEP 4--Choose N'!D2,'N lookup'!A2:Q47,13,FALSE)+VLOOKUP('STEP 5--Choose P'!D2,'P lookup'!A2:L16,12,FALSE))</f>
        <v>#N/A</v>
      </c>
      <c r="E4" s="165" t="s">
        <v>200</v>
      </c>
      <c r="F4" s="137"/>
      <c r="G4" s="137"/>
      <c r="H4" s="137"/>
      <c r="I4" s="138"/>
      <c r="J4" s="138"/>
    </row>
    <row r="5" spans="1:10" ht="30.95" customHeight="1" x14ac:dyDescent="0.5">
      <c r="A5" s="363" t="s">
        <v>202</v>
      </c>
      <c r="B5" s="364"/>
      <c r="C5" s="364"/>
      <c r="D5" s="364"/>
      <c r="E5" s="364"/>
      <c r="F5" s="364"/>
      <c r="G5" s="364"/>
      <c r="H5" s="364"/>
      <c r="I5" s="364"/>
      <c r="J5" s="364"/>
    </row>
    <row r="6" spans="1:10" s="34" customFormat="1" ht="71.099999999999994" customHeight="1" x14ac:dyDescent="0.35">
      <c r="A6" s="119" t="str">
        <f>'Appendix--Fertilizer Costs'!A1</f>
        <v>MATERIAL</v>
      </c>
      <c r="B6" s="120" t="str">
        <f>'Appendix--Fertilizer Costs'!B1</f>
        <v>% N</v>
      </c>
      <c r="C6" s="120" t="str">
        <f>'Appendix--Fertilizer Costs'!C1</f>
        <v>% P2O5</v>
      </c>
      <c r="D6" s="120" t="str">
        <f>'Appendix--Fertilizer Costs'!D1</f>
        <v>% K20</v>
      </c>
      <c r="E6" s="120" t="str">
        <f>'Appendix--Fertilizer Costs'!E1</f>
        <v>% Ca</v>
      </c>
      <c r="F6" s="120" t="str">
        <f>'Appendix--Fertilizer Costs'!F1</f>
        <v>% Mg</v>
      </c>
      <c r="G6" s="120" t="str">
        <f>'Appendix--Fertilizer Costs'!G1</f>
        <v>% S</v>
      </c>
      <c r="H6" s="119" t="str">
        <f>'Appendix--Fertilizer Costs'!H1</f>
        <v>Release Rate</v>
      </c>
      <c r="I6" s="121" t="str">
        <f>'Appendix--Fertilizer Costs'!I1</f>
        <v>Price per 50 lb</v>
      </c>
      <c r="J6" s="121" t="str">
        <f>'Appendix--Fertilizer Costs'!L1</f>
        <v>$/lb K</v>
      </c>
    </row>
    <row r="7" spans="1:10" ht="46" x14ac:dyDescent="0.35">
      <c r="A7" s="175" t="str">
        <f>'Appendix--Fertilizer Costs'!A10</f>
        <v>Dehydrated Poultry Manure (Kreher's 4-3-10)</v>
      </c>
      <c r="B7" s="292">
        <f>'Appendix--Fertilizer Costs'!B10</f>
        <v>0.04</v>
      </c>
      <c r="C7" s="292">
        <f>'Appendix--Fertilizer Costs'!C10</f>
        <v>0.03</v>
      </c>
      <c r="D7" s="292">
        <f>'Appendix--Fertilizer Costs'!D10</f>
        <v>0.1</v>
      </c>
      <c r="E7" s="292">
        <f>'Appendix--Fertilizer Costs'!E10</f>
        <v>0</v>
      </c>
      <c r="F7" s="292">
        <f>'Appendix--Fertilizer Costs'!F10</f>
        <v>0</v>
      </c>
      <c r="G7" s="292">
        <f>'Appendix--Fertilizer Costs'!G10</f>
        <v>0</v>
      </c>
      <c r="H7" s="293" t="str">
        <f>'Appendix--Fertilizer Costs'!H10</f>
        <v>med</v>
      </c>
      <c r="I7" s="294">
        <f>'Appendix--Fertilizer Costs'!I10</f>
        <v>22.5</v>
      </c>
      <c r="J7" s="294">
        <f>'Appendix--Fertilizer Costs'!L10</f>
        <v>4.5</v>
      </c>
    </row>
    <row r="8" spans="1:10" ht="46" x14ac:dyDescent="0.35">
      <c r="A8" s="295" t="str">
        <f>'Appendix--Fertilizer Costs'!A11</f>
        <v>Dehydrated Poultry Manure (Kreher's 7-2-6)</v>
      </c>
      <c r="B8" s="292">
        <f>'Appendix--Fertilizer Costs'!B11</f>
        <v>7.0000000000000007E-2</v>
      </c>
      <c r="C8" s="292">
        <f>'Appendix--Fertilizer Costs'!C11</f>
        <v>0.02</v>
      </c>
      <c r="D8" s="292">
        <f>'Appendix--Fertilizer Costs'!D11</f>
        <v>0.06</v>
      </c>
      <c r="E8" s="292">
        <f>'Appendix--Fertilizer Costs'!E11</f>
        <v>0</v>
      </c>
      <c r="F8" s="292">
        <f>'Appendix--Fertilizer Costs'!F11</f>
        <v>0</v>
      </c>
      <c r="G8" s="292">
        <f>'Appendix--Fertilizer Costs'!G11</f>
        <v>0</v>
      </c>
      <c r="H8" s="293" t="str">
        <f>'Appendix--Fertilizer Costs'!H11</f>
        <v>med</v>
      </c>
      <c r="I8" s="294">
        <f>'Appendix--Fertilizer Costs'!I11</f>
        <v>28.75</v>
      </c>
      <c r="J8" s="294">
        <f>'Appendix--Fertilizer Costs'!L11</f>
        <v>0</v>
      </c>
    </row>
    <row r="9" spans="1:10" ht="15.35" x14ac:dyDescent="0.35">
      <c r="A9" s="175" t="str">
        <f>'Appendix--Fertilizer Costs'!A21</f>
        <v>Granite dust</v>
      </c>
      <c r="B9" s="292">
        <f>'Appendix--Fertilizer Costs'!B21</f>
        <v>0</v>
      </c>
      <c r="C9" s="292">
        <f>'Appendix--Fertilizer Costs'!C21</f>
        <v>0</v>
      </c>
      <c r="D9" s="292">
        <f>'Appendix--Fertilizer Costs'!D21</f>
        <v>0.06</v>
      </c>
      <c r="E9" s="292">
        <f>'Appendix--Fertilizer Costs'!E21</f>
        <v>0</v>
      </c>
      <c r="F9" s="292">
        <f>'Appendix--Fertilizer Costs'!F21</f>
        <v>0.11</v>
      </c>
      <c r="G9" s="292">
        <f>'Appendix--Fertilizer Costs'!G21</f>
        <v>0.22</v>
      </c>
      <c r="H9" s="293" t="str">
        <f>'Appendix--Fertilizer Costs'!H21</f>
        <v>very slow</v>
      </c>
      <c r="I9" s="294">
        <f>'Appendix--Fertilizer Costs'!I21</f>
        <v>89</v>
      </c>
      <c r="J9" s="294">
        <f>'Appendix--Fertilizer Costs'!L21</f>
        <v>29.666666666666668</v>
      </c>
    </row>
    <row r="10" spans="1:10" ht="15.35" x14ac:dyDescent="0.35">
      <c r="A10" s="175" t="str">
        <f>'Appendix--Fertilizer Costs'!A22</f>
        <v>Greensand</v>
      </c>
      <c r="B10" s="292">
        <f>'Appendix--Fertilizer Costs'!B22</f>
        <v>0</v>
      </c>
      <c r="C10" s="292">
        <f>'Appendix--Fertilizer Costs'!C22</f>
        <v>0.01</v>
      </c>
      <c r="D10" s="292">
        <f>'Appendix--Fertilizer Costs'!D22</f>
        <v>7.0000000000000007E-2</v>
      </c>
      <c r="E10" s="292">
        <f>'Appendix--Fertilizer Costs'!E22</f>
        <v>0</v>
      </c>
      <c r="F10" s="292">
        <f>'Appendix--Fertilizer Costs'!F22</f>
        <v>0</v>
      </c>
      <c r="G10" s="292">
        <f>'Appendix--Fertilizer Costs'!G22</f>
        <v>0</v>
      </c>
      <c r="H10" s="293" t="str">
        <f>'Appendix--Fertilizer Costs'!H22</f>
        <v>very slow</v>
      </c>
      <c r="I10" s="294">
        <f>'Appendix--Fertilizer Costs'!I22</f>
        <v>31.5</v>
      </c>
      <c r="J10" s="294">
        <f>'Appendix--Fertilizer Costs'!L22</f>
        <v>8.9999999999999982</v>
      </c>
    </row>
    <row r="11" spans="1:10" ht="15.35" x14ac:dyDescent="0.35">
      <c r="A11" s="175" t="str">
        <f>'Appendix--Fertilizer Costs'!A24</f>
        <v>K-mag</v>
      </c>
      <c r="B11" s="292">
        <f>'Appendix--Fertilizer Costs'!B24</f>
        <v>0</v>
      </c>
      <c r="C11" s="292">
        <f>'Appendix--Fertilizer Costs'!C24</f>
        <v>0</v>
      </c>
      <c r="D11" s="292">
        <f>'Appendix--Fertilizer Costs'!D24</f>
        <v>0.22</v>
      </c>
      <c r="E11" s="292">
        <f>'Appendix--Fertilizer Costs'!E24</f>
        <v>0</v>
      </c>
      <c r="F11" s="292">
        <f>'Appendix--Fertilizer Costs'!F24</f>
        <v>0.11</v>
      </c>
      <c r="G11" s="292">
        <f>'Appendix--Fertilizer Costs'!G24</f>
        <v>0.22</v>
      </c>
      <c r="H11" s="293" t="str">
        <f>'Appendix--Fertilizer Costs'!H24</f>
        <v>rapid</v>
      </c>
      <c r="I11" s="294">
        <f>'Appendix--Fertilizer Costs'!I24</f>
        <v>27.65</v>
      </c>
      <c r="J11" s="294">
        <f>'Appendix--Fertilizer Costs'!L24</f>
        <v>2.5136363636363637</v>
      </c>
    </row>
    <row r="12" spans="1:10" s="14" customFormat="1" ht="15.35" x14ac:dyDescent="0.35">
      <c r="A12" s="175" t="str">
        <f>'Appendix--Fertilizer Costs'!A27</f>
        <v>Makro 60</v>
      </c>
      <c r="B12" s="292">
        <f>'Appendix--Fertilizer Costs'!B27</f>
        <v>0</v>
      </c>
      <c r="C12" s="292">
        <f>'Appendix--Fertilizer Costs'!C27</f>
        <v>0</v>
      </c>
      <c r="D12" s="292">
        <f>'Appendix--Fertilizer Costs'!D27</f>
        <v>0.6</v>
      </c>
      <c r="E12" s="292">
        <f>'Appendix--Fertilizer Costs'!E27</f>
        <v>0</v>
      </c>
      <c r="F12" s="292">
        <f>'Appendix--Fertilizer Costs'!F27</f>
        <v>0</v>
      </c>
      <c r="G12" s="292">
        <f>'Appendix--Fertilizer Costs'!G27</f>
        <v>0</v>
      </c>
      <c r="H12" s="293">
        <f>'Appendix--Fertilizer Costs'!H27</f>
        <v>0</v>
      </c>
      <c r="I12" s="294">
        <f>'Appendix--Fertilizer Costs'!I27</f>
        <v>36.25</v>
      </c>
      <c r="J12" s="294">
        <f>'Appendix--Fertilizer Costs'!L27</f>
        <v>0</v>
      </c>
    </row>
    <row r="13" spans="1:10" s="14" customFormat="1" ht="15.35" x14ac:dyDescent="0.35">
      <c r="A13" s="295" t="str">
        <f>'Appendix--Fertilizer Costs'!A29</f>
        <v>Naturesafe</v>
      </c>
      <c r="B13" s="292">
        <f>'Appendix--Fertilizer Costs'!B29</f>
        <v>7.0000000000000007E-2</v>
      </c>
      <c r="C13" s="292">
        <f>'Appendix--Fertilizer Costs'!C29</f>
        <v>0.12</v>
      </c>
      <c r="D13" s="292">
        <f>'Appendix--Fertilizer Costs'!D29</f>
        <v>0</v>
      </c>
      <c r="E13" s="292">
        <f>'Appendix--Fertilizer Costs'!E29</f>
        <v>0</v>
      </c>
      <c r="F13" s="292">
        <f>'Appendix--Fertilizer Costs'!F29</f>
        <v>0</v>
      </c>
      <c r="G13" s="292">
        <f>'Appendix--Fertilizer Costs'!G29</f>
        <v>0</v>
      </c>
      <c r="H13" s="293">
        <f>'Appendix--Fertilizer Costs'!H29</f>
        <v>0</v>
      </c>
      <c r="I13" s="294">
        <f>'Appendix--Fertilizer Costs'!I29</f>
        <v>35</v>
      </c>
      <c r="J13" s="294">
        <f>'Appendix--Fertilizer Costs'!L29</f>
        <v>0</v>
      </c>
    </row>
    <row r="14" spans="1:10" s="14" customFormat="1" ht="30.7" x14ac:dyDescent="0.35">
      <c r="A14" s="175" t="str">
        <f>'Appendix--Fertilizer Costs'!A32</f>
        <v>Peanut meal</v>
      </c>
      <c r="B14" s="292">
        <f>'Appendix--Fertilizer Costs'!B32</f>
        <v>0.08</v>
      </c>
      <c r="C14" s="292">
        <f>'Appendix--Fertilizer Costs'!C32</f>
        <v>0.01</v>
      </c>
      <c r="D14" s="292">
        <f>'Appendix--Fertilizer Costs'!D32</f>
        <v>0.02</v>
      </c>
      <c r="E14" s="292">
        <f>'Appendix--Fertilizer Costs'!E32</f>
        <v>0</v>
      </c>
      <c r="F14" s="292">
        <f>'Appendix--Fertilizer Costs'!F32</f>
        <v>0</v>
      </c>
      <c r="G14" s="292">
        <f>'Appendix--Fertilizer Costs'!G32</f>
        <v>0</v>
      </c>
      <c r="H14" s="293" t="str">
        <f>'Appendix--Fertilizer Costs'!H32</f>
        <v>slow/ med</v>
      </c>
      <c r="I14" s="294">
        <f>'Appendix--Fertilizer Costs'!I32</f>
        <v>28</v>
      </c>
      <c r="J14" s="294">
        <f>'Appendix--Fertilizer Costs'!L32</f>
        <v>28</v>
      </c>
    </row>
    <row r="15" spans="1:10" s="14" customFormat="1" ht="15.35" x14ac:dyDescent="0.35">
      <c r="A15" s="311" t="str">
        <f>'Appendix--Fertilizer Costs'!A36</f>
        <v>Solubor</v>
      </c>
      <c r="B15" s="312"/>
      <c r="C15" s="312"/>
      <c r="D15" s="312"/>
      <c r="E15" s="312"/>
      <c r="F15" s="312"/>
      <c r="G15" s="312"/>
      <c r="H15" s="313"/>
      <c r="I15" s="314"/>
      <c r="J15" s="314"/>
    </row>
    <row r="16" spans="1:10" s="14" customFormat="1" ht="30.7" x14ac:dyDescent="0.35">
      <c r="A16" s="175" t="str">
        <f>'Appendix--Fertilizer Costs'!A37</f>
        <v>Soybean meal</v>
      </c>
      <c r="B16" s="292">
        <f>'Appendix--Fertilizer Costs'!B37</f>
        <v>7.0000000000000007E-2</v>
      </c>
      <c r="C16" s="292">
        <f>'Appendix--Fertilizer Costs'!C37</f>
        <v>0.01</v>
      </c>
      <c r="D16" s="292">
        <f>'Appendix--Fertilizer Costs'!D37</f>
        <v>0.02</v>
      </c>
      <c r="E16" s="292">
        <f>'Appendix--Fertilizer Costs'!E37</f>
        <v>0</v>
      </c>
      <c r="F16" s="292">
        <f>'Appendix--Fertilizer Costs'!F37</f>
        <v>0.03</v>
      </c>
      <c r="G16" s="292">
        <f>'Appendix--Fertilizer Costs'!G37</f>
        <v>0</v>
      </c>
      <c r="H16" s="293" t="str">
        <f>'Appendix--Fertilizer Costs'!H37</f>
        <v>slow/ med</v>
      </c>
      <c r="I16" s="294">
        <f>'Appendix--Fertilizer Costs'!I37</f>
        <v>17</v>
      </c>
      <c r="J16" s="294">
        <f>'Appendix--Fertilizer Costs'!L37</f>
        <v>17</v>
      </c>
    </row>
    <row r="17" spans="1:10" s="14" customFormat="1" ht="30.7" x14ac:dyDescent="0.35">
      <c r="A17" s="175" t="str">
        <f>'Appendix--Fertilizer Costs'!A38</f>
        <v>Soybean meal, OG</v>
      </c>
      <c r="B17" s="292">
        <f>'Appendix--Fertilizer Costs'!B38</f>
        <v>7.0000000000000007E-2</v>
      </c>
      <c r="C17" s="292">
        <f>'Appendix--Fertilizer Costs'!C38</f>
        <v>0.01</v>
      </c>
      <c r="D17" s="292">
        <f>'Appendix--Fertilizer Costs'!D38</f>
        <v>0.02</v>
      </c>
      <c r="E17" s="292">
        <f>'Appendix--Fertilizer Costs'!E38</f>
        <v>0</v>
      </c>
      <c r="F17" s="292">
        <f>'Appendix--Fertilizer Costs'!F38</f>
        <v>0</v>
      </c>
      <c r="G17" s="292">
        <f>'Appendix--Fertilizer Costs'!G38</f>
        <v>0</v>
      </c>
      <c r="H17" s="293" t="str">
        <f>'Appendix--Fertilizer Costs'!H38</f>
        <v>slow/ med</v>
      </c>
      <c r="I17" s="294">
        <f>'Appendix--Fertilizer Costs'!I38</f>
        <v>43.6</v>
      </c>
      <c r="J17" s="294">
        <f>'Appendix--Fertilizer Costs'!L38</f>
        <v>43.6</v>
      </c>
    </row>
    <row r="18" spans="1:10" s="14" customFormat="1" ht="15.35" x14ac:dyDescent="0.35">
      <c r="A18" s="175" t="str">
        <f>'Appendix--Fertilizer Costs'!A39</f>
        <v>Sulfate of potash</v>
      </c>
      <c r="B18" s="292">
        <f>'Appendix--Fertilizer Costs'!B39</f>
        <v>0</v>
      </c>
      <c r="C18" s="292">
        <f>'Appendix--Fertilizer Costs'!C39</f>
        <v>0</v>
      </c>
      <c r="D18" s="292">
        <f>'Appendix--Fertilizer Costs'!D39</f>
        <v>0.5</v>
      </c>
      <c r="E18" s="292">
        <f>'Appendix--Fertilizer Costs'!E39</f>
        <v>0</v>
      </c>
      <c r="F18" s="292">
        <f>'Appendix--Fertilizer Costs'!F39</f>
        <v>0</v>
      </c>
      <c r="G18" s="292">
        <f>'Appendix--Fertilizer Costs'!G39</f>
        <v>0.17</v>
      </c>
      <c r="H18" s="293" t="str">
        <f>'Appendix--Fertilizer Costs'!H39</f>
        <v>rapid</v>
      </c>
      <c r="I18" s="294">
        <f>'Appendix--Fertilizer Costs'!I39</f>
        <v>34.14</v>
      </c>
      <c r="J18" s="294">
        <f>'Appendix--Fertilizer Costs'!L39</f>
        <v>1.3655999999999999</v>
      </c>
    </row>
    <row r="19" spans="1:10" s="14" customFormat="1" ht="15.35" x14ac:dyDescent="0.35">
      <c r="A19" s="175" t="str">
        <f>'Appendix--Fertilizer Costs'!A40</f>
        <v>SOP soluble</v>
      </c>
      <c r="B19" s="292">
        <f>'Appendix--Fertilizer Costs'!B40</f>
        <v>0</v>
      </c>
      <c r="C19" s="292">
        <f>'Appendix--Fertilizer Costs'!C40</f>
        <v>0</v>
      </c>
      <c r="D19" s="292">
        <f>'Appendix--Fertilizer Costs'!D40</f>
        <v>0.52</v>
      </c>
      <c r="E19" s="292">
        <f>'Appendix--Fertilizer Costs'!E40</f>
        <v>0</v>
      </c>
      <c r="F19" s="292">
        <f>'Appendix--Fertilizer Costs'!F40</f>
        <v>0</v>
      </c>
      <c r="G19" s="292">
        <f>'Appendix--Fertilizer Costs'!G40</f>
        <v>0</v>
      </c>
      <c r="H19" s="293">
        <f>'Appendix--Fertilizer Costs'!H40</f>
        <v>0</v>
      </c>
      <c r="I19" s="294">
        <f>'Appendix--Fertilizer Costs'!I40</f>
        <v>54.3</v>
      </c>
      <c r="J19" s="294">
        <f>'Appendix--Fertilizer Costs'!L40</f>
        <v>0</v>
      </c>
    </row>
    <row r="20" spans="1:10" s="14" customFormat="1" ht="15.35" x14ac:dyDescent="0.35">
      <c r="A20" s="175" t="str">
        <f>'Appendix--Fertilizer Costs'!A42</f>
        <v>Urea</v>
      </c>
      <c r="B20" s="292">
        <f>'Appendix--Fertilizer Costs'!B42</f>
        <v>0.46</v>
      </c>
      <c r="C20" s="292">
        <f>'Appendix--Fertilizer Costs'!C42</f>
        <v>0</v>
      </c>
      <c r="D20" s="292">
        <f>'Appendix--Fertilizer Costs'!D42</f>
        <v>0</v>
      </c>
      <c r="E20" s="292">
        <f>'Appendix--Fertilizer Costs'!E42</f>
        <v>0</v>
      </c>
      <c r="F20" s="292">
        <f>'Appendix--Fertilizer Costs'!F42</f>
        <v>0</v>
      </c>
      <c r="G20" s="292">
        <f>'Appendix--Fertilizer Costs'!G42</f>
        <v>0</v>
      </c>
      <c r="H20" s="293" t="str">
        <f>'Appendix--Fertilizer Costs'!H42</f>
        <v>rapid</v>
      </c>
      <c r="I20" s="294">
        <f>'Appendix--Fertilizer Costs'!I42</f>
        <v>18.75</v>
      </c>
      <c r="J20" s="294">
        <f>'Appendix--Fertilizer Costs'!L42</f>
        <v>0</v>
      </c>
    </row>
    <row r="21" spans="1:10" s="14" customFormat="1" ht="15.35" x14ac:dyDescent="0.45">
      <c r="A21" s="315" t="s">
        <v>162</v>
      </c>
      <c r="B21" s="316">
        <v>0</v>
      </c>
      <c r="C21" s="316">
        <v>0</v>
      </c>
      <c r="D21" s="316">
        <v>0</v>
      </c>
      <c r="E21" s="316"/>
      <c r="F21" s="316"/>
      <c r="G21" s="316"/>
      <c r="H21" s="317"/>
      <c r="I21" s="50">
        <v>0</v>
      </c>
    </row>
    <row r="22" spans="1:10" s="14" customFormat="1" ht="41.35" x14ac:dyDescent="0.45">
      <c r="A22" s="123" t="s">
        <v>191</v>
      </c>
      <c r="B22" s="124"/>
      <c r="C22" s="124"/>
      <c r="D22" s="124"/>
      <c r="E22" s="124"/>
      <c r="F22" s="124"/>
      <c r="G22" s="124"/>
      <c r="H22" s="125"/>
      <c r="I22" s="126"/>
      <c r="J22" s="60" t="e">
        <f>I22/D22/50</f>
        <v>#DIV/0!</v>
      </c>
    </row>
    <row r="23" spans="1:10" s="14" customFormat="1" x14ac:dyDescent="0.35">
      <c r="A23" s="1"/>
      <c r="B23" s="2"/>
      <c r="C23" s="2"/>
      <c r="D23" s="2"/>
      <c r="E23" s="2"/>
      <c r="F23" s="2"/>
      <c r="G23" s="2"/>
    </row>
    <row r="24" spans="1:10" s="14" customFormat="1" ht="33.75" customHeight="1" x14ac:dyDescent="0.35">
      <c r="A24" s="377" t="s">
        <v>164</v>
      </c>
      <c r="B24" s="378"/>
      <c r="C24" s="378"/>
      <c r="D24" s="378"/>
      <c r="E24" s="378"/>
      <c r="F24" s="379"/>
      <c r="G24" s="2"/>
    </row>
    <row r="25" spans="1:10" s="14" customFormat="1" ht="18.95" customHeight="1" x14ac:dyDescent="0.35">
      <c r="E25" s="2"/>
      <c r="F25" s="2"/>
      <c r="G25" s="2"/>
    </row>
    <row r="26" spans="1:10" s="14" customFormat="1" x14ac:dyDescent="0.35">
      <c r="A26" s="1"/>
      <c r="B26" s="2"/>
      <c r="C26" s="2"/>
      <c r="D26" s="2"/>
      <c r="E26" s="2"/>
      <c r="F26" s="2"/>
      <c r="G26" s="2"/>
    </row>
    <row r="27" spans="1:10" s="14" customFormat="1" x14ac:dyDescent="0.35">
      <c r="A27" s="1"/>
      <c r="B27" s="17"/>
      <c r="C27" s="2"/>
      <c r="D27" s="2"/>
      <c r="E27" s="2"/>
      <c r="F27" s="2"/>
      <c r="G27" s="2"/>
      <c r="H27" s="2"/>
    </row>
    <row r="28" spans="1:10" s="14" customFormat="1" x14ac:dyDescent="0.35">
      <c r="A28" s="1"/>
      <c r="B28" s="17"/>
      <c r="C28" s="2"/>
      <c r="D28" s="2"/>
      <c r="E28" s="2"/>
      <c r="F28" s="2"/>
      <c r="G28" s="2"/>
      <c r="H28" s="2"/>
    </row>
    <row r="29" spans="1:10" s="14" customFormat="1" ht="41.1" customHeight="1" x14ac:dyDescent="0.35">
      <c r="G29" s="94"/>
      <c r="H29" s="33"/>
    </row>
    <row r="30" spans="1:10" s="14" customFormat="1" x14ac:dyDescent="0.35">
      <c r="A30" s="1"/>
      <c r="B30" s="17"/>
      <c r="C30" s="2"/>
      <c r="D30" s="2"/>
      <c r="E30" s="2"/>
      <c r="F30" s="2"/>
      <c r="G30" s="2"/>
      <c r="H30" s="2"/>
    </row>
    <row r="31" spans="1:10" s="14" customFormat="1" x14ac:dyDescent="0.35">
      <c r="A31" s="1"/>
      <c r="B31" s="17"/>
      <c r="C31" s="2"/>
      <c r="D31" s="2"/>
      <c r="E31" s="2"/>
      <c r="F31" s="2"/>
      <c r="G31" s="2"/>
      <c r="H31" s="2"/>
    </row>
    <row r="32" spans="1:10" s="14" customFormat="1" x14ac:dyDescent="0.35">
      <c r="A32" s="1"/>
      <c r="B32" s="17"/>
      <c r="C32" s="2"/>
      <c r="D32" s="2"/>
      <c r="E32" s="2"/>
      <c r="F32" s="2"/>
      <c r="G32" s="2"/>
      <c r="H32" s="2"/>
    </row>
  </sheetData>
  <mergeCells count="7">
    <mergeCell ref="A1:J1"/>
    <mergeCell ref="A2:D2"/>
    <mergeCell ref="A24:F24"/>
    <mergeCell ref="E2:G2"/>
    <mergeCell ref="A3:C3"/>
    <mergeCell ref="A4:C4"/>
    <mergeCell ref="A5:J5"/>
  </mergeCells>
  <phoneticPr fontId="6" type="noConversion"/>
  <dataValidations xWindow="248" yWindow="658" count="1">
    <dataValidation type="list" allowBlank="1" showInputMessage="1" showErrorMessage="1" promptTitle="Select Fertilizer" prompt="From Menu" sqref="E2" xr:uid="{00000000-0002-0000-0900-000000000000}">
      <formula1>$A$7:$A$22</formula1>
    </dataValidation>
  </dataValidations>
  <pageMargins left="0.75" right="0.75" top="1" bottom="1" header="0.5" footer="0.5"/>
  <pageSetup scale="55" orientation="landscape" horizontalDpi="4294967292" verticalDpi="4294967292" r:id="rId1"/>
  <headerFooter>
    <oddHeader>&amp;L&amp;"Verdana,Bold"&amp;14Choose K Amendments</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3"/>
  <sheetViews>
    <sheetView view="pageLayout" workbookViewId="0">
      <selection activeCell="A6" sqref="A6"/>
    </sheetView>
  </sheetViews>
  <sheetFormatPr defaultColWidth="11" defaultRowHeight="12.35" x14ac:dyDescent="0.35"/>
  <cols>
    <col min="1" max="1" width="18.26171875" style="31" customWidth="1"/>
    <col min="2" max="2" width="18.26171875" style="17" customWidth="1"/>
    <col min="3" max="3" width="6.734375" style="2" customWidth="1"/>
    <col min="4" max="4" width="7.47265625" style="2" customWidth="1"/>
    <col min="5" max="5" width="6.26171875" style="2" customWidth="1"/>
    <col min="6" max="6" width="7" style="2" customWidth="1"/>
    <col min="7" max="7" width="6.1015625" style="2" customWidth="1"/>
    <col min="8" max="8" width="5.734375" style="33" customWidth="1"/>
    <col min="9" max="9" width="11.26171875" style="14" customWidth="1"/>
    <col min="10" max="10" width="11" style="14"/>
    <col min="11" max="11" width="12" style="30" customWidth="1"/>
    <col min="12" max="14" width="11" style="24"/>
    <col min="15" max="15" width="11" style="14"/>
    <col min="16" max="16" width="11" style="15"/>
  </cols>
  <sheetData>
    <row r="1" spans="1:16" s="1" customFormat="1" ht="138" customHeight="1" x14ac:dyDescent="0.35">
      <c r="A1" s="307" t="str">
        <f>'STEP 6--Choose K'!A6</f>
        <v>MATERIAL</v>
      </c>
      <c r="B1" s="318" t="str">
        <f>'STEP 6--Choose K'!B6</f>
        <v>% N</v>
      </c>
      <c r="C1" s="318" t="str">
        <f>'STEP 6--Choose K'!C6</f>
        <v>% P2O5</v>
      </c>
      <c r="D1" s="318" t="str">
        <f>'STEP 6--Choose K'!D6</f>
        <v>% K20</v>
      </c>
      <c r="E1" s="318" t="str">
        <f>'STEP 6--Choose K'!E6</f>
        <v>% Ca</v>
      </c>
      <c r="F1" s="318" t="str">
        <f>'STEP 6--Choose K'!F6</f>
        <v>% Mg</v>
      </c>
      <c r="G1" s="318" t="str">
        <f>'STEP 6--Choose K'!G6</f>
        <v>% S</v>
      </c>
      <c r="H1" s="307" t="str">
        <f>'STEP 6--Choose K'!H6</f>
        <v>Release Rate</v>
      </c>
      <c r="I1" s="319" t="str">
        <f>'STEP 6--Choose K'!I6</f>
        <v>Price per 50 lb</v>
      </c>
      <c r="J1" s="319" t="str">
        <f>'STEP 6--Choose K'!J6</f>
        <v>$/lb K</v>
      </c>
      <c r="K1" s="308" t="s">
        <v>203</v>
      </c>
      <c r="L1" s="320" t="s">
        <v>178</v>
      </c>
      <c r="M1" s="320" t="s">
        <v>179</v>
      </c>
      <c r="N1" s="320" t="s">
        <v>180</v>
      </c>
      <c r="O1" s="321" t="s">
        <v>194</v>
      </c>
    </row>
    <row r="2" spans="1:16" ht="37" x14ac:dyDescent="0.35">
      <c r="A2" s="307" t="str">
        <f>'STEP 6--Choose K'!A7</f>
        <v>Dehydrated Poultry Manure (Kreher's 4-3-10)</v>
      </c>
      <c r="B2" s="318">
        <f>'STEP 6--Choose K'!B7</f>
        <v>0.04</v>
      </c>
      <c r="C2" s="318">
        <f>'STEP 6--Choose K'!C7</f>
        <v>0.03</v>
      </c>
      <c r="D2" s="318">
        <f>'STEP 6--Choose K'!D7</f>
        <v>0.1</v>
      </c>
      <c r="E2" s="318">
        <f>'STEP 6--Choose K'!E7</f>
        <v>0</v>
      </c>
      <c r="F2" s="318">
        <f>'STEP 6--Choose K'!F7</f>
        <v>0</v>
      </c>
      <c r="G2" s="318">
        <f>'STEP 6--Choose K'!G7</f>
        <v>0</v>
      </c>
      <c r="H2" s="307" t="str">
        <f>'STEP 6--Choose K'!H7</f>
        <v>med</v>
      </c>
      <c r="I2" s="319">
        <f>'STEP 6--Choose K'!I7</f>
        <v>22.5</v>
      </c>
      <c r="J2" s="319">
        <f>'STEP 6--Choose K'!J7</f>
        <v>4.5</v>
      </c>
      <c r="K2" s="127" t="e">
        <f>('STEP 3--Nutrient Needs'!E11/D2)-((VLOOKUP('STEP 4--Choose N'!D2,'N lookup'!A2:Q47,13,FALSE)+VLOOKUP('STEP 5--Choose P'!D2,'P lookup'!A2:L16,12,FALSE))/D2)</f>
        <v>#N/A</v>
      </c>
      <c r="L2" s="24" t="e">
        <f t="shared" ref="L2:L9" si="0">K2*E2</f>
        <v>#N/A</v>
      </c>
      <c r="M2" s="24" t="e">
        <f t="shared" ref="M2:M9" si="1">K2*F2</f>
        <v>#N/A</v>
      </c>
      <c r="N2" s="24" t="e">
        <f t="shared" ref="N2:N9" si="2">K2*G2</f>
        <v>#N/A</v>
      </c>
      <c r="O2" s="14" t="e">
        <f t="shared" ref="O2:O9" si="3">K2/50*I2</f>
        <v>#N/A</v>
      </c>
      <c r="P2"/>
    </row>
    <row r="3" spans="1:16" ht="37" x14ac:dyDescent="0.35">
      <c r="A3" s="307" t="str">
        <f>'STEP 6--Choose K'!A8</f>
        <v>Dehydrated Poultry Manure (Kreher's 7-2-6)</v>
      </c>
      <c r="B3" s="318">
        <f>'STEP 6--Choose K'!B8</f>
        <v>7.0000000000000007E-2</v>
      </c>
      <c r="C3" s="318">
        <f>'STEP 6--Choose K'!C8</f>
        <v>0.02</v>
      </c>
      <c r="D3" s="318">
        <f>'STEP 6--Choose K'!D8</f>
        <v>0.06</v>
      </c>
      <c r="E3" s="318">
        <f>'STEP 6--Choose K'!E8</f>
        <v>0</v>
      </c>
      <c r="F3" s="318">
        <f>'STEP 6--Choose K'!F8</f>
        <v>0</v>
      </c>
      <c r="G3" s="318">
        <f>'STEP 6--Choose K'!G8</f>
        <v>0</v>
      </c>
      <c r="H3" s="307" t="str">
        <f>'STEP 6--Choose K'!H8</f>
        <v>med</v>
      </c>
      <c r="I3" s="319">
        <f>'STEP 6--Choose K'!I8</f>
        <v>28.75</v>
      </c>
      <c r="J3" s="319">
        <f>'STEP 6--Choose K'!J8</f>
        <v>0</v>
      </c>
      <c r="K3" s="24" t="e">
        <f>('STEP 3--Nutrient Needs'!E11/D3)-((VLOOKUP('STEP 4--Choose N'!D2,'N lookup'!A2:Q47,13,FALSE)+VLOOKUP('STEP 5--Choose P'!D2,'P lookup'!A2:L16,12,FALSE))/D3)</f>
        <v>#N/A</v>
      </c>
      <c r="L3" s="24" t="e">
        <f t="shared" si="0"/>
        <v>#N/A</v>
      </c>
      <c r="M3" s="24" t="e">
        <f t="shared" si="1"/>
        <v>#N/A</v>
      </c>
      <c r="N3" s="24" t="e">
        <f t="shared" si="2"/>
        <v>#N/A</v>
      </c>
      <c r="O3" s="14" t="e">
        <f t="shared" si="3"/>
        <v>#N/A</v>
      </c>
      <c r="P3"/>
    </row>
    <row r="4" spans="1:16" ht="24.7" x14ac:dyDescent="0.35">
      <c r="A4" s="307" t="str">
        <f>'STEP 6--Choose K'!A9</f>
        <v>Granite dust</v>
      </c>
      <c r="B4" s="318">
        <f>'STEP 6--Choose K'!B9</f>
        <v>0</v>
      </c>
      <c r="C4" s="318">
        <f>'STEP 6--Choose K'!C9</f>
        <v>0</v>
      </c>
      <c r="D4" s="318">
        <f>'STEP 6--Choose K'!D9</f>
        <v>0.06</v>
      </c>
      <c r="E4" s="318">
        <f>'STEP 6--Choose K'!E9</f>
        <v>0</v>
      </c>
      <c r="F4" s="318">
        <f>'STEP 6--Choose K'!F9</f>
        <v>0.11</v>
      </c>
      <c r="G4" s="318">
        <f>'STEP 6--Choose K'!G9</f>
        <v>0.22</v>
      </c>
      <c r="H4" s="307" t="str">
        <f>'STEP 6--Choose K'!H9</f>
        <v>very slow</v>
      </c>
      <c r="I4" s="319">
        <f>'STEP 6--Choose K'!I9</f>
        <v>89</v>
      </c>
      <c r="J4" s="319">
        <f>'STEP 6--Choose K'!J9</f>
        <v>29.666666666666668</v>
      </c>
      <c r="K4" s="24" t="e">
        <f>('STEP 3--Nutrient Needs'!E11/D4)-((VLOOKUP('STEP 4--Choose N'!D2,'N lookup'!A2:Q47,13,FALSE)+VLOOKUP('STEP 5--Choose P'!D2,'P lookup'!A2:L16,12,FALSE))/D4)</f>
        <v>#N/A</v>
      </c>
      <c r="L4" s="24" t="e">
        <f t="shared" si="0"/>
        <v>#N/A</v>
      </c>
      <c r="M4" s="24" t="e">
        <f t="shared" si="1"/>
        <v>#N/A</v>
      </c>
      <c r="N4" s="24" t="e">
        <f t="shared" si="2"/>
        <v>#N/A</v>
      </c>
      <c r="O4" s="14" t="e">
        <f t="shared" si="3"/>
        <v>#N/A</v>
      </c>
      <c r="P4"/>
    </row>
    <row r="5" spans="1:16" ht="24.7" x14ac:dyDescent="0.35">
      <c r="A5" s="307" t="str">
        <f>'STEP 6--Choose K'!A10</f>
        <v>Greensand</v>
      </c>
      <c r="B5" s="318">
        <f>'STEP 6--Choose K'!B10</f>
        <v>0</v>
      </c>
      <c r="C5" s="318">
        <f>'STEP 6--Choose K'!C10</f>
        <v>0.01</v>
      </c>
      <c r="D5" s="318">
        <f>'STEP 6--Choose K'!D10</f>
        <v>7.0000000000000007E-2</v>
      </c>
      <c r="E5" s="318">
        <f>'STEP 6--Choose K'!E10</f>
        <v>0</v>
      </c>
      <c r="F5" s="318">
        <f>'STEP 6--Choose K'!F10</f>
        <v>0</v>
      </c>
      <c r="G5" s="318">
        <f>'STEP 6--Choose K'!G10</f>
        <v>0</v>
      </c>
      <c r="H5" s="307" t="str">
        <f>'STEP 6--Choose K'!H10</f>
        <v>very slow</v>
      </c>
      <c r="I5" s="319">
        <f>'STEP 6--Choose K'!I10</f>
        <v>31.5</v>
      </c>
      <c r="J5" s="319">
        <f>'STEP 6--Choose K'!J10</f>
        <v>8.9999999999999982</v>
      </c>
      <c r="K5" s="24" t="e">
        <f>('STEP 3--Nutrient Needs'!E11/D5)-((VLOOKUP('STEP 4--Choose N'!D2,'N lookup'!A2:Q47,13,FALSE)+VLOOKUP('STEP 5--Choose P'!D2,'P lookup'!A2:L16,12,FALSE))/D5)</f>
        <v>#N/A</v>
      </c>
      <c r="L5" s="24" t="e">
        <f t="shared" si="0"/>
        <v>#N/A</v>
      </c>
      <c r="M5" s="24" t="e">
        <f t="shared" si="1"/>
        <v>#N/A</v>
      </c>
      <c r="N5" s="24" t="e">
        <f t="shared" si="2"/>
        <v>#N/A</v>
      </c>
      <c r="O5" s="14" t="e">
        <f t="shared" si="3"/>
        <v>#N/A</v>
      </c>
      <c r="P5"/>
    </row>
    <row r="6" spans="1:16" s="14" customFormat="1" x14ac:dyDescent="0.35">
      <c r="A6" s="307" t="str">
        <f>'STEP 6--Choose K'!A11</f>
        <v>K-mag</v>
      </c>
      <c r="B6" s="318">
        <f>'STEP 6--Choose K'!B11</f>
        <v>0</v>
      </c>
      <c r="C6" s="318">
        <f>'STEP 6--Choose K'!C11</f>
        <v>0</v>
      </c>
      <c r="D6" s="318">
        <f>'STEP 6--Choose K'!D11</f>
        <v>0.22</v>
      </c>
      <c r="E6" s="318">
        <f>'STEP 6--Choose K'!E11</f>
        <v>0</v>
      </c>
      <c r="F6" s="318">
        <f>'STEP 6--Choose K'!F11</f>
        <v>0.11</v>
      </c>
      <c r="G6" s="318">
        <f>'STEP 6--Choose K'!G11</f>
        <v>0.22</v>
      </c>
      <c r="H6" s="307" t="str">
        <f>'STEP 6--Choose K'!H11</f>
        <v>rapid</v>
      </c>
      <c r="I6" s="319">
        <f>'STEP 6--Choose K'!I11</f>
        <v>27.65</v>
      </c>
      <c r="J6" s="319">
        <f>'STEP 6--Choose K'!J11</f>
        <v>2.5136363636363637</v>
      </c>
      <c r="K6" s="24" t="e">
        <f>('STEP 3--Nutrient Needs'!E11/D6)-((VLOOKUP('STEP 4--Choose N'!D2,'N lookup'!A2:Q47,13,FALSE)+VLOOKUP('STEP 5--Choose P'!D2,'P lookup'!A2:L16,12,FALSE))/D6)</f>
        <v>#N/A</v>
      </c>
      <c r="L6" s="24" t="e">
        <f t="shared" si="0"/>
        <v>#N/A</v>
      </c>
      <c r="M6" s="24" t="e">
        <f t="shared" si="1"/>
        <v>#N/A</v>
      </c>
      <c r="N6" s="24" t="e">
        <f t="shared" si="2"/>
        <v>#N/A</v>
      </c>
      <c r="O6" s="14" t="e">
        <f t="shared" si="3"/>
        <v>#N/A</v>
      </c>
    </row>
    <row r="7" spans="1:16" s="14" customFormat="1" x14ac:dyDescent="0.35">
      <c r="A7" s="307" t="str">
        <f>'STEP 6--Choose K'!A12</f>
        <v>Makro 60</v>
      </c>
      <c r="B7" s="318">
        <f>'STEP 6--Choose K'!B12</f>
        <v>0</v>
      </c>
      <c r="C7" s="318">
        <f>'STEP 6--Choose K'!C12</f>
        <v>0</v>
      </c>
      <c r="D7" s="318">
        <f>'STEP 6--Choose K'!D12</f>
        <v>0.6</v>
      </c>
      <c r="E7" s="318">
        <f>'STEP 6--Choose K'!E12</f>
        <v>0</v>
      </c>
      <c r="F7" s="318">
        <f>'STEP 6--Choose K'!F12</f>
        <v>0</v>
      </c>
      <c r="G7" s="318">
        <f>'STEP 6--Choose K'!G12</f>
        <v>0</v>
      </c>
      <c r="H7" s="307">
        <f>'STEP 6--Choose K'!H12</f>
        <v>0</v>
      </c>
      <c r="I7" s="319">
        <f>'STEP 6--Choose K'!I12</f>
        <v>36.25</v>
      </c>
      <c r="J7" s="319">
        <f>'STEP 6--Choose K'!J12</f>
        <v>0</v>
      </c>
      <c r="K7" s="24" t="e">
        <f>('STEP 3--Nutrient Needs'!E11/D7)-((VLOOKUP('STEP 4--Choose N'!D2,'N lookup'!A2:Q47,13,FALSE)+VLOOKUP('STEP 5--Choose P'!D2,'P lookup'!A2:L16,12,FALSE))/D7)</f>
        <v>#N/A</v>
      </c>
      <c r="L7" s="24" t="e">
        <f t="shared" si="0"/>
        <v>#N/A</v>
      </c>
      <c r="M7" s="24" t="e">
        <f t="shared" si="1"/>
        <v>#N/A</v>
      </c>
      <c r="N7" s="24" t="e">
        <f t="shared" si="2"/>
        <v>#N/A</v>
      </c>
      <c r="O7" s="14" t="e">
        <f t="shared" si="3"/>
        <v>#N/A</v>
      </c>
    </row>
    <row r="8" spans="1:16" s="14" customFormat="1" x14ac:dyDescent="0.35">
      <c r="A8" s="307" t="str">
        <f>'STEP 6--Choose K'!A13</f>
        <v>Naturesafe</v>
      </c>
      <c r="B8" s="318">
        <f>'STEP 6--Choose K'!B13</f>
        <v>7.0000000000000007E-2</v>
      </c>
      <c r="C8" s="318">
        <f>'STEP 6--Choose K'!C13</f>
        <v>0.12</v>
      </c>
      <c r="D8" s="318">
        <f>'STEP 6--Choose K'!D13</f>
        <v>0</v>
      </c>
      <c r="E8" s="318">
        <f>'STEP 6--Choose K'!E13</f>
        <v>0</v>
      </c>
      <c r="F8" s="318">
        <f>'STEP 6--Choose K'!F13</f>
        <v>0</v>
      </c>
      <c r="G8" s="318">
        <f>'STEP 6--Choose K'!G13</f>
        <v>0</v>
      </c>
      <c r="H8" s="307">
        <f>'STEP 6--Choose K'!H13</f>
        <v>0</v>
      </c>
      <c r="I8" s="319">
        <f>'STEP 6--Choose K'!I13</f>
        <v>35</v>
      </c>
      <c r="J8" s="319">
        <f>'STEP 6--Choose K'!J13</f>
        <v>0</v>
      </c>
      <c r="K8" s="24" t="e">
        <f>('STEP 3--Nutrient Needs'!E11/D8)-((VLOOKUP('STEP 4--Choose N'!D2,'N lookup'!A2:Q47,13,FALSE)+VLOOKUP('STEP 5--Choose P'!D2,'P lookup'!A2:L16,12,FALSE))/D8)</f>
        <v>#N/A</v>
      </c>
      <c r="L8" s="24" t="e">
        <f t="shared" si="0"/>
        <v>#N/A</v>
      </c>
      <c r="M8" s="24" t="e">
        <f t="shared" si="1"/>
        <v>#N/A</v>
      </c>
      <c r="N8" s="24" t="e">
        <f t="shared" si="2"/>
        <v>#N/A</v>
      </c>
      <c r="O8" s="14" t="e">
        <f t="shared" si="3"/>
        <v>#N/A</v>
      </c>
    </row>
    <row r="9" spans="1:16" s="14" customFormat="1" ht="24.7" x14ac:dyDescent="0.35">
      <c r="A9" s="307" t="str">
        <f>'STEP 6--Choose K'!A14</f>
        <v>Peanut meal</v>
      </c>
      <c r="B9" s="318">
        <f>'STEP 6--Choose K'!B14</f>
        <v>0.08</v>
      </c>
      <c r="C9" s="318">
        <f>'STEP 6--Choose K'!C14</f>
        <v>0.01</v>
      </c>
      <c r="D9" s="318">
        <f>'STEP 6--Choose K'!D14</f>
        <v>0.02</v>
      </c>
      <c r="E9" s="318">
        <f>'STEP 6--Choose K'!E14</f>
        <v>0</v>
      </c>
      <c r="F9" s="318">
        <f>'STEP 6--Choose K'!F14</f>
        <v>0</v>
      </c>
      <c r="G9" s="318">
        <f>'STEP 6--Choose K'!G14</f>
        <v>0</v>
      </c>
      <c r="H9" s="307" t="str">
        <f>'STEP 6--Choose K'!H14</f>
        <v>slow/ med</v>
      </c>
      <c r="I9" s="319">
        <f>'STEP 6--Choose K'!I14</f>
        <v>28</v>
      </c>
      <c r="J9" s="319">
        <f>'STEP 6--Choose K'!J14</f>
        <v>28</v>
      </c>
      <c r="K9" s="24" t="e">
        <f>('STEP 3--Nutrient Needs'!E11/D9)-((VLOOKUP('STEP 4--Choose N'!D2,'N lookup'!A2:Q47,13,FALSE)+VLOOKUP('STEP 5--Choose P'!D2,'P lookup'!A2:L16,12,FALSE))/D9)</f>
        <v>#N/A</v>
      </c>
      <c r="L9" s="24" t="e">
        <f t="shared" si="0"/>
        <v>#N/A</v>
      </c>
      <c r="M9" s="24" t="e">
        <f t="shared" si="1"/>
        <v>#N/A</v>
      </c>
      <c r="N9" s="24" t="e">
        <f t="shared" si="2"/>
        <v>#N/A</v>
      </c>
      <c r="O9" s="14" t="e">
        <f t="shared" si="3"/>
        <v>#N/A</v>
      </c>
    </row>
    <row r="10" spans="1:16" s="14" customFormat="1" x14ac:dyDescent="0.35">
      <c r="A10" s="307" t="str">
        <f>'STEP 6--Choose K'!A15</f>
        <v>Solubor</v>
      </c>
      <c r="B10" s="318"/>
      <c r="C10" s="318"/>
      <c r="D10" s="318"/>
      <c r="E10" s="318"/>
      <c r="F10" s="318"/>
      <c r="G10" s="318"/>
      <c r="H10" s="307"/>
      <c r="I10" s="319"/>
      <c r="J10" s="319"/>
      <c r="K10" s="24"/>
      <c r="L10" s="24"/>
      <c r="M10" s="24"/>
      <c r="N10" s="24"/>
    </row>
    <row r="11" spans="1:16" s="14" customFormat="1" ht="24.7" x14ac:dyDescent="0.35">
      <c r="A11" s="307" t="str">
        <f>'STEP 6--Choose K'!A16</f>
        <v>Soybean meal</v>
      </c>
      <c r="B11" s="318">
        <f>'STEP 6--Choose K'!B16</f>
        <v>7.0000000000000007E-2</v>
      </c>
      <c r="C11" s="318">
        <f>'STEP 6--Choose K'!C16</f>
        <v>0.01</v>
      </c>
      <c r="D11" s="318">
        <f>'STEP 6--Choose K'!D16</f>
        <v>0.02</v>
      </c>
      <c r="E11" s="318">
        <f>'STEP 6--Choose K'!E16</f>
        <v>0</v>
      </c>
      <c r="F11" s="318">
        <f>'STEP 6--Choose K'!F16</f>
        <v>0.03</v>
      </c>
      <c r="G11" s="318">
        <f>'STEP 6--Choose K'!G16</f>
        <v>0</v>
      </c>
      <c r="H11" s="307" t="str">
        <f>'STEP 6--Choose K'!H16</f>
        <v>slow/ med</v>
      </c>
      <c r="I11" s="319">
        <f>'STEP 6--Choose K'!I16</f>
        <v>17</v>
      </c>
      <c r="J11" s="319">
        <f>'STEP 6--Choose K'!J16</f>
        <v>17</v>
      </c>
      <c r="K11" s="24" t="e">
        <f>('STEP 3--Nutrient Needs'!E11/D11)-((VLOOKUP('STEP 4--Choose N'!D2,'N lookup'!A2:Q47,13,FALSE)+VLOOKUP('STEP 5--Choose P'!D2,'P lookup'!A2:L16,12,FALSE))/D11)</f>
        <v>#N/A</v>
      </c>
      <c r="L11" s="24" t="e">
        <f>K11*E11</f>
        <v>#N/A</v>
      </c>
      <c r="M11" s="24" t="e">
        <f>K11*F11</f>
        <v>#N/A</v>
      </c>
      <c r="N11" s="24" t="e">
        <f>K11*G11</f>
        <v>#N/A</v>
      </c>
      <c r="O11" s="14" t="e">
        <f t="shared" ref="O11:O17" si="4">K11/50*I11</f>
        <v>#N/A</v>
      </c>
    </row>
    <row r="12" spans="1:16" s="14" customFormat="1" ht="24.7" x14ac:dyDescent="0.35">
      <c r="A12" s="307" t="str">
        <f>'STEP 6--Choose K'!A17</f>
        <v>Soybean meal, OG</v>
      </c>
      <c r="B12" s="318">
        <f>'STEP 6--Choose K'!B17</f>
        <v>7.0000000000000007E-2</v>
      </c>
      <c r="C12" s="318">
        <f>'STEP 6--Choose K'!C17</f>
        <v>0.01</v>
      </c>
      <c r="D12" s="318">
        <f>'STEP 6--Choose K'!D17</f>
        <v>0.02</v>
      </c>
      <c r="E12" s="318">
        <f>'STEP 6--Choose K'!E17</f>
        <v>0</v>
      </c>
      <c r="F12" s="318">
        <f>'STEP 6--Choose K'!F17</f>
        <v>0</v>
      </c>
      <c r="G12" s="318">
        <f>'STEP 6--Choose K'!G17</f>
        <v>0</v>
      </c>
      <c r="H12" s="307" t="str">
        <f>'STEP 6--Choose K'!H17</f>
        <v>slow/ med</v>
      </c>
      <c r="I12" s="319">
        <f>'STEP 6--Choose K'!I17</f>
        <v>43.6</v>
      </c>
      <c r="J12" s="319">
        <f>'STEP 6--Choose K'!J17</f>
        <v>43.6</v>
      </c>
      <c r="K12" s="24" t="e">
        <f>('STEP 3--Nutrient Needs'!E11/D12)-((VLOOKUP('STEP 4--Choose N'!D2,'N lookup'!A2:Q47,13,FALSE)+VLOOKUP('STEP 5--Choose P'!D2,'P lookup'!A2:L16,12,FALSE))/D12)</f>
        <v>#N/A</v>
      </c>
      <c r="L12" s="24" t="e">
        <f>K12*E12</f>
        <v>#N/A</v>
      </c>
      <c r="M12" s="24" t="e">
        <f>K12*F12</f>
        <v>#N/A</v>
      </c>
      <c r="N12" s="24" t="e">
        <f>K12*G12</f>
        <v>#N/A</v>
      </c>
      <c r="O12" s="14" t="e">
        <f t="shared" si="4"/>
        <v>#N/A</v>
      </c>
    </row>
    <row r="13" spans="1:16" s="14" customFormat="1" x14ac:dyDescent="0.35">
      <c r="A13" s="307" t="str">
        <f>'STEP 6--Choose K'!A18</f>
        <v>Sulfate of potash</v>
      </c>
      <c r="B13" s="318">
        <f>'STEP 6--Choose K'!B18</f>
        <v>0</v>
      </c>
      <c r="C13" s="318">
        <f>'STEP 6--Choose K'!C18</f>
        <v>0</v>
      </c>
      <c r="D13" s="318">
        <f>'STEP 6--Choose K'!D18</f>
        <v>0.5</v>
      </c>
      <c r="E13" s="318">
        <f>'STEP 6--Choose K'!E18</f>
        <v>0</v>
      </c>
      <c r="F13" s="318">
        <f>'STEP 6--Choose K'!F18</f>
        <v>0</v>
      </c>
      <c r="G13" s="318">
        <f>'STEP 6--Choose K'!G18</f>
        <v>0.17</v>
      </c>
      <c r="H13" s="307" t="str">
        <f>'STEP 6--Choose K'!H18</f>
        <v>rapid</v>
      </c>
      <c r="I13" s="319">
        <f>'STEP 6--Choose K'!I18</f>
        <v>34.14</v>
      </c>
      <c r="J13" s="319">
        <f>'STEP 6--Choose K'!J18</f>
        <v>1.3655999999999999</v>
      </c>
      <c r="K13" s="24" t="e">
        <f>('STEP 3--Nutrient Needs'!E11/D13)-((VLOOKUP('STEP 4--Choose N'!D2,'N lookup'!A2:Q47,13,FALSE)+VLOOKUP('STEP 5--Choose P'!D2,'P lookup'!A2:L16,12,FALSE))/D13)</f>
        <v>#N/A</v>
      </c>
      <c r="L13" s="24" t="e">
        <f>K13*E13</f>
        <v>#N/A</v>
      </c>
      <c r="M13" s="24" t="e">
        <f>K13*F13</f>
        <v>#N/A</v>
      </c>
      <c r="N13" s="24" t="e">
        <f>K13*G13</f>
        <v>#N/A</v>
      </c>
      <c r="O13" s="14" t="e">
        <f t="shared" si="4"/>
        <v>#N/A</v>
      </c>
    </row>
    <row r="14" spans="1:16" s="14" customFormat="1" x14ac:dyDescent="0.35">
      <c r="A14" s="307" t="str">
        <f>'STEP 6--Choose K'!A19</f>
        <v>SOP soluble</v>
      </c>
      <c r="B14" s="318">
        <f>'STEP 6--Choose K'!B19</f>
        <v>0</v>
      </c>
      <c r="C14" s="318">
        <f>'STEP 6--Choose K'!C19</f>
        <v>0</v>
      </c>
      <c r="D14" s="318">
        <f>'STEP 6--Choose K'!D19</f>
        <v>0.52</v>
      </c>
      <c r="E14" s="318">
        <f>'STEP 6--Choose K'!E19</f>
        <v>0</v>
      </c>
      <c r="F14" s="318">
        <f>'STEP 6--Choose K'!F19</f>
        <v>0</v>
      </c>
      <c r="G14" s="318">
        <f>'STEP 6--Choose K'!G19</f>
        <v>0</v>
      </c>
      <c r="H14" s="307">
        <f>'STEP 6--Choose K'!H19</f>
        <v>0</v>
      </c>
      <c r="I14" s="319">
        <f>'STEP 6--Choose K'!I19</f>
        <v>54.3</v>
      </c>
      <c r="J14" s="319">
        <f>'STEP 6--Choose K'!J19</f>
        <v>0</v>
      </c>
      <c r="K14" s="24" t="e">
        <f>('STEP 3--Nutrient Needs'!E11/D14)-((VLOOKUP('STEP 4--Choose N'!D2,'N lookup'!A2:Q47,13,FALSE)+VLOOKUP('STEP 5--Choose P'!D2,'P lookup'!A2:L16,12,FALSE))/D14)</f>
        <v>#N/A</v>
      </c>
      <c r="L14" s="24" t="e">
        <f>K14*E14</f>
        <v>#N/A</v>
      </c>
      <c r="M14" s="24" t="e">
        <f>K14*F14</f>
        <v>#N/A</v>
      </c>
      <c r="N14" s="24" t="e">
        <f>K14*G14</f>
        <v>#N/A</v>
      </c>
      <c r="O14" s="14" t="e">
        <f t="shared" si="4"/>
        <v>#N/A</v>
      </c>
    </row>
    <row r="15" spans="1:16" s="14" customFormat="1" x14ac:dyDescent="0.35">
      <c r="A15" s="307" t="str">
        <f>'STEP 6--Choose K'!A20</f>
        <v>Urea</v>
      </c>
      <c r="B15" s="318">
        <f>'STEP 6--Choose K'!B20</f>
        <v>0.46</v>
      </c>
      <c r="C15" s="318">
        <f>'STEP 6--Choose K'!C20</f>
        <v>0</v>
      </c>
      <c r="D15" s="318">
        <f>'STEP 6--Choose K'!D20</f>
        <v>0</v>
      </c>
      <c r="E15" s="318">
        <f>'STEP 6--Choose K'!E20</f>
        <v>0</v>
      </c>
      <c r="F15" s="318">
        <f>'STEP 6--Choose K'!F20</f>
        <v>0</v>
      </c>
      <c r="G15" s="318">
        <f>'STEP 6--Choose K'!G20</f>
        <v>0</v>
      </c>
      <c r="H15" s="307" t="str">
        <f>'STEP 6--Choose K'!H20</f>
        <v>rapid</v>
      </c>
      <c r="I15" s="319">
        <f>'STEP 6--Choose K'!I20</f>
        <v>18.75</v>
      </c>
      <c r="J15" s="319">
        <f>'STEP 6--Choose K'!J20</f>
        <v>0</v>
      </c>
      <c r="K15" s="24" t="e">
        <f>('STEP 3--Nutrient Needs'!E11/D15)-((VLOOKUP('STEP 4--Choose N'!D2,'N lookup'!A2:Q47,13,FALSE)+VLOOKUP('STEP 5--Choose P'!D2,'P lookup'!A2:L16,12,FALSE))/D15)</f>
        <v>#N/A</v>
      </c>
      <c r="L15" s="24" t="e">
        <f>K15*E15</f>
        <v>#N/A</v>
      </c>
      <c r="M15" s="24" t="e">
        <f>K15*F15</f>
        <v>#N/A</v>
      </c>
      <c r="N15" s="24" t="e">
        <f>K15*G15</f>
        <v>#N/A</v>
      </c>
      <c r="O15" s="14" t="e">
        <f t="shared" si="4"/>
        <v>#N/A</v>
      </c>
    </row>
    <row r="16" spans="1:16" s="14" customFormat="1" x14ac:dyDescent="0.35">
      <c r="A16" s="32" t="str">
        <f>'STEP 6--Choose K'!A21</f>
        <v>NONE NEEDED</v>
      </c>
      <c r="B16" s="86">
        <f>'STEP 6--Choose K'!B21</f>
        <v>0</v>
      </c>
      <c r="C16" s="86">
        <f>'STEP 6--Choose K'!C21</f>
        <v>0</v>
      </c>
      <c r="D16" s="86">
        <f>'STEP 6--Choose K'!D21</f>
        <v>0</v>
      </c>
      <c r="E16" s="86">
        <f>'STEP 6--Choose K'!E21</f>
        <v>0</v>
      </c>
      <c r="F16" s="86">
        <f>'STEP 6--Choose K'!F21</f>
        <v>0</v>
      </c>
      <c r="G16" s="86">
        <f>'STEP 6--Choose K'!G21</f>
        <v>0</v>
      </c>
      <c r="H16" s="86">
        <f>'STEP 6--Choose K'!H21</f>
        <v>0</v>
      </c>
      <c r="I16" s="87">
        <f>'STEP 6--Choose K'!I21</f>
        <v>0</v>
      </c>
      <c r="J16" s="87">
        <f>'STEP 6--Choose K'!J21</f>
        <v>0</v>
      </c>
      <c r="K16" s="24">
        <v>0</v>
      </c>
      <c r="L16" s="24">
        <v>0</v>
      </c>
      <c r="M16" s="24">
        <v>0</v>
      </c>
      <c r="N16" s="24">
        <v>0</v>
      </c>
      <c r="O16" s="14">
        <f t="shared" si="4"/>
        <v>0</v>
      </c>
    </row>
    <row r="17" spans="1:16" s="14" customFormat="1" ht="37" x14ac:dyDescent="0.35">
      <c r="A17" s="58" t="str">
        <f>'STEP 6--Choose K'!A22</f>
        <v>OTHER--enter Name in this cell, analysis and price to right--&gt;</v>
      </c>
      <c r="B17" s="59">
        <f>'STEP 6--Choose K'!B22</f>
        <v>0</v>
      </c>
      <c r="C17" s="59">
        <f>'STEP 6--Choose K'!C22</f>
        <v>0</v>
      </c>
      <c r="D17" s="59">
        <f>'STEP 6--Choose K'!D22</f>
        <v>0</v>
      </c>
      <c r="E17" s="59">
        <f>'STEP 6--Choose K'!E22</f>
        <v>0</v>
      </c>
      <c r="F17" s="59">
        <f>'STEP 6--Choose K'!F22</f>
        <v>0</v>
      </c>
      <c r="G17" s="59">
        <f>'STEP 6--Choose K'!G22</f>
        <v>0</v>
      </c>
      <c r="H17" s="59">
        <f>'STEP 6--Choose K'!H22</f>
        <v>0</v>
      </c>
      <c r="I17" s="95">
        <f>'STEP 6--Choose K'!I22</f>
        <v>0</v>
      </c>
      <c r="J17" s="95" t="e">
        <f>'STEP 6--Choose K'!J22</f>
        <v>#DIV/0!</v>
      </c>
      <c r="K17" s="24" t="e">
        <f>('STEP 3--Nutrient Needs'!E11/D16)-((VLOOKUP('STEP 4--Choose N'!D2,'N lookup'!A2:Q47,13,FALSE)+VLOOKUP('STEP 5--Choose P'!D2,'P lookup'!A2:L16,12,FALSE))/D17)</f>
        <v>#N/A</v>
      </c>
      <c r="L17" s="24" t="e">
        <f>K17*E17</f>
        <v>#N/A</v>
      </c>
      <c r="M17" s="24" t="e">
        <f>K17*F17</f>
        <v>#N/A</v>
      </c>
      <c r="N17" s="24" t="e">
        <f>K17*G17</f>
        <v>#N/A</v>
      </c>
      <c r="O17" s="14" t="e">
        <f t="shared" si="4"/>
        <v>#N/A</v>
      </c>
    </row>
    <row r="18" spans="1:16" s="14" customFormat="1" x14ac:dyDescent="0.35">
      <c r="A18" s="1"/>
      <c r="B18" s="17"/>
      <c r="C18" s="2"/>
      <c r="D18" s="2"/>
      <c r="E18" s="2"/>
      <c r="F18" s="2"/>
      <c r="G18" s="2"/>
      <c r="H18" s="2"/>
      <c r="L18" s="24"/>
      <c r="M18" s="24"/>
      <c r="N18" s="24"/>
      <c r="P18" s="15"/>
    </row>
    <row r="19" spans="1:16" s="14" customFormat="1" x14ac:dyDescent="0.35">
      <c r="A19" s="1"/>
      <c r="B19" s="17"/>
      <c r="C19" s="2"/>
      <c r="D19" s="2"/>
      <c r="E19" s="2"/>
      <c r="F19" s="2"/>
      <c r="G19" s="2"/>
      <c r="H19" s="2"/>
      <c r="L19" s="24"/>
      <c r="M19" s="24"/>
      <c r="N19" s="24"/>
      <c r="P19" s="15"/>
    </row>
    <row r="20" spans="1:16" s="14" customFormat="1" x14ac:dyDescent="0.35">
      <c r="A20" s="1"/>
      <c r="B20" s="17"/>
      <c r="C20" s="2"/>
      <c r="D20" s="2"/>
      <c r="E20" s="2"/>
      <c r="F20" s="2"/>
      <c r="G20" s="2"/>
      <c r="H20" s="2"/>
      <c r="L20" s="24"/>
      <c r="M20" s="24"/>
      <c r="N20" s="24"/>
      <c r="P20" s="15"/>
    </row>
    <row r="21" spans="1:16" s="14" customFormat="1" x14ac:dyDescent="0.35">
      <c r="A21" s="1"/>
      <c r="B21" s="17"/>
      <c r="C21" s="2"/>
      <c r="D21" s="2"/>
      <c r="E21" s="2"/>
      <c r="F21" s="2"/>
      <c r="G21" s="2"/>
      <c r="H21" s="2"/>
      <c r="K21" s="30"/>
      <c r="L21" s="24"/>
      <c r="M21" s="24"/>
      <c r="N21" s="24"/>
      <c r="P21" s="15"/>
    </row>
    <row r="22" spans="1:16" s="14" customFormat="1" x14ac:dyDescent="0.35">
      <c r="A22" s="1"/>
      <c r="B22" s="17"/>
      <c r="C22" s="2"/>
      <c r="D22" s="2"/>
      <c r="E22" s="2"/>
      <c r="F22" s="2"/>
      <c r="G22" s="2"/>
      <c r="H22" s="2"/>
      <c r="K22" s="30"/>
      <c r="L22" s="24"/>
      <c r="M22" s="24"/>
      <c r="N22" s="24"/>
      <c r="P22" s="15"/>
    </row>
    <row r="23" spans="1:16" x14ac:dyDescent="0.35">
      <c r="H23" s="2"/>
    </row>
  </sheetData>
  <sortState xmlns:xlrd2="http://schemas.microsoft.com/office/spreadsheetml/2017/richdata2" ref="A18:E60">
    <sortCondition ref="D19:D60"/>
  </sortState>
  <phoneticPr fontId="6" type="noConversion"/>
  <pageMargins left="0.75" right="0.75" top="1" bottom="1" header="0.5" footer="0.5"/>
  <pageSetup orientation="landscape" horizontalDpi="4294967292" verticalDpi="4294967292" r:id="rId1"/>
  <headerFooter>
    <oddHeader>&amp;CNutrient Prices per pound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7" tint="0.39997558519241921"/>
    <pageSetUpPr fitToPage="1"/>
  </sheetPr>
  <dimension ref="A1:G10"/>
  <sheetViews>
    <sheetView showGridLines="0" showRowColHeaders="0" view="pageLayout" topLeftCell="A2" workbookViewId="0">
      <selection activeCell="B5" sqref="B5"/>
    </sheetView>
  </sheetViews>
  <sheetFormatPr defaultColWidth="11" defaultRowHeight="12.35" x14ac:dyDescent="0.35"/>
  <cols>
    <col min="1" max="1" width="6.734375" customWidth="1"/>
    <col min="2" max="2" width="15" customWidth="1"/>
    <col min="3" max="3" width="11.734375" style="24" hidden="1" customWidth="1"/>
    <col min="4" max="4" width="13.3671875" style="25" customWidth="1"/>
    <col min="5" max="5" width="14.89453125" style="15" hidden="1" customWidth="1"/>
    <col min="6" max="6" width="15.26171875" customWidth="1"/>
    <col min="7" max="7" width="18.1015625" customWidth="1"/>
  </cols>
  <sheetData>
    <row r="1" spans="1:7" ht="50.45" customHeight="1" x14ac:dyDescent="0.45">
      <c r="A1" s="385" t="s">
        <v>204</v>
      </c>
      <c r="B1" s="386"/>
      <c r="C1" s="386"/>
      <c r="D1" s="386"/>
      <c r="E1" s="386"/>
      <c r="F1" s="387"/>
      <c r="G1" s="387"/>
    </row>
    <row r="2" spans="1:7" x14ac:dyDescent="0.35">
      <c r="B2" s="322"/>
      <c r="C2" s="322"/>
      <c r="D2" s="322"/>
      <c r="E2" s="322"/>
    </row>
    <row r="3" spans="1:7" s="35" customFormat="1" ht="54.7" x14ac:dyDescent="0.35">
      <c r="B3" s="323" t="s">
        <v>205</v>
      </c>
      <c r="C3" s="324" t="s">
        <v>206</v>
      </c>
      <c r="D3" s="325" t="s">
        <v>207</v>
      </c>
      <c r="E3" s="326" t="s">
        <v>208</v>
      </c>
      <c r="F3" s="324" t="s">
        <v>209</v>
      </c>
      <c r="G3" s="326" t="s">
        <v>210</v>
      </c>
    </row>
    <row r="4" spans="1:7" ht="27.35" x14ac:dyDescent="0.35">
      <c r="A4" s="327" t="s">
        <v>211</v>
      </c>
      <c r="B4" s="328" t="str">
        <f>'STEP 4--Choose N'!D2</f>
        <v>Soybean meal, OG</v>
      </c>
      <c r="C4" s="329" t="e">
        <f>ROUNDUP(VLOOKUP('STEP 4--Choose N'!D2,'N lookup'!A2:Q47,11,FALSE),-2)</f>
        <v>#N/A</v>
      </c>
      <c r="D4" s="330" t="str">
        <f>VLOOKUP('STEP 4--Choose N'!D2,'N lookup'!A2:Q47,8,FALSE)</f>
        <v>slow/ med</v>
      </c>
      <c r="E4" s="331" t="e">
        <f>ROUNDUP(VLOOKUP('STEP 4--Choose N'!D2,'N lookup'!A2:Q47,17,FALSE),-1)</f>
        <v>#N/A</v>
      </c>
      <c r="F4" s="329" t="e">
        <f>ROUNDUP(VLOOKUP('STEP 4--Choose N'!D2,'N lookup'!A2:Q47,11,FALSE),-2)*'STEP 1--Field Information'!F23</f>
        <v>#N/A</v>
      </c>
      <c r="G4" s="331" t="e">
        <f>ROUNDUP(VLOOKUP('STEP 4--Choose N'!D2,'N lookup'!A2:Q47,17,FALSE),-1)*'STEP 1--Field Information'!F23</f>
        <v>#N/A</v>
      </c>
    </row>
    <row r="5" spans="1:7" ht="27.95" customHeight="1" x14ac:dyDescent="0.35">
      <c r="A5" s="327" t="s">
        <v>212</v>
      </c>
      <c r="B5" s="332" t="str">
        <f>'STEP 5--Choose P'!D2</f>
        <v>NONE NEEDED</v>
      </c>
      <c r="C5" s="333">
        <f>ROUNDUP(VLOOKUP('STEP 5--Choose P'!D2,'P lookup'!A2:P16,11,FALSE),-2)</f>
        <v>0</v>
      </c>
      <c r="D5" s="334">
        <f>VLOOKUP('STEP 5--Choose P'!D2,'P lookup'!A2:P16,8,FALSE)</f>
        <v>0</v>
      </c>
      <c r="E5" s="335">
        <f>ROUNDUP(VLOOKUP('STEP 5--Choose P'!D2,'P lookup'!A2:P16,16,FALSE),-1)</f>
        <v>0</v>
      </c>
      <c r="F5" s="333">
        <f>ROUNDUP(VLOOKUP('STEP 5--Choose P'!D2,'P lookup'!A2:P16,11,FALSE),-2)*'STEP 1--Field Information'!F23</f>
        <v>0</v>
      </c>
      <c r="G5" s="335">
        <f>ROUNDUP(VLOOKUP('STEP 5--Choose P'!D2,'P lookup'!A2:P16,16,FALSE),-1)*'STEP 1--Field Information'!F23</f>
        <v>0</v>
      </c>
    </row>
    <row r="6" spans="1:7" ht="26.1" customHeight="1" x14ac:dyDescent="0.35">
      <c r="A6" s="327" t="s">
        <v>213</v>
      </c>
      <c r="B6" s="336" t="str">
        <f>'STEP 6--Choose K'!E2</f>
        <v>Sulfate of potash</v>
      </c>
      <c r="C6" s="337" t="e">
        <f>ROUNDUP(VLOOKUP('STEP 6--Choose K'!E2,'K lookup'!A2:P17,11,FALSE),-1)</f>
        <v>#N/A</v>
      </c>
      <c r="D6" s="338" t="str">
        <f>VLOOKUP('STEP 6--Choose K'!E2,'K lookup'!A2:P17,8,FALSE)</f>
        <v>rapid</v>
      </c>
      <c r="E6" s="339" t="e">
        <f>ROUNDUP(VLOOKUP('STEP 6--Choose K'!E2,'K lookup'!A2:P17,15,FALSE),-1)</f>
        <v>#N/A</v>
      </c>
      <c r="F6" s="337" t="e">
        <f>ROUNDUP(VLOOKUP('STEP 6--Choose K'!E2,'K lookup'!A2:P17,11,FALSE),-1)*'STEP 1--Field Information'!F23</f>
        <v>#N/A</v>
      </c>
      <c r="G6" s="339" t="e">
        <f>ROUNDUP(VLOOKUP('STEP 6--Choose K'!E2,'K lookup'!A2:P17,15,FALSE),-1)*'STEP 1--Field Information'!F23</f>
        <v>#N/A</v>
      </c>
    </row>
    <row r="7" spans="1:7" ht="24.95" hidden="1" customHeight="1" x14ac:dyDescent="0.35">
      <c r="B7" s="129" t="s">
        <v>214</v>
      </c>
      <c r="C7" s="130"/>
      <c r="D7" s="131"/>
      <c r="E7" s="132" t="e">
        <f>SUM(E4:E6)</f>
        <v>#N/A</v>
      </c>
    </row>
    <row r="9" spans="1:7" ht="12.7" thickBot="1" x14ac:dyDescent="0.4"/>
    <row r="10" spans="1:7" ht="39.950000000000003" customHeight="1" thickBot="1" x14ac:dyDescent="0.4">
      <c r="A10" s="150" t="s">
        <v>215</v>
      </c>
      <c r="B10" s="151"/>
      <c r="C10" s="151"/>
      <c r="D10" s="151"/>
      <c r="E10" s="151"/>
      <c r="F10" s="152"/>
      <c r="G10" s="128" t="e">
        <f>SUM(E4:E6)*'STEP 1--Field Information'!F23</f>
        <v>#N/A</v>
      </c>
    </row>
  </sheetData>
  <mergeCells count="1">
    <mergeCell ref="A1:G1"/>
  </mergeCells>
  <phoneticPr fontId="6" type="noConversion"/>
  <pageMargins left="0.75" right="0.75" top="1" bottom="1" header="0.5" footer="0.5"/>
  <pageSetup orientation="landscape" horizontalDpi="4294967292" verticalDpi="4294967292" r:id="rId1"/>
  <headerFooter>
    <oddHeader xml:space="preserve">&amp;L&amp;"Verdana,Bold"&amp;14Calculations by Field&amp;C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
  <sheetViews>
    <sheetView workbookViewId="0"/>
  </sheetViews>
  <sheetFormatPr defaultColWidth="11.1015625" defaultRowHeight="12.35" x14ac:dyDescent="0.35"/>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
  <sheetViews>
    <sheetView workbookViewId="0"/>
  </sheetViews>
  <sheetFormatPr defaultColWidth="11.1015625" defaultRowHeight="12.35" x14ac:dyDescent="0.35"/>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
  <sheetViews>
    <sheetView workbookViewId="0"/>
  </sheetViews>
  <sheetFormatPr defaultColWidth="11.1015625" defaultRowHeight="12.35" x14ac:dyDescent="0.35"/>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A1"/>
  <sheetViews>
    <sheetView workbookViewId="0"/>
  </sheetViews>
  <sheetFormatPr defaultColWidth="11.1015625" defaultRowHeight="12.35" x14ac:dyDescent="0.35"/>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C50C-28E8-4C0B-9362-B695D7CBA3FE}">
  <sheetPr codeName="Sheet12">
    <tabColor theme="8"/>
  </sheetPr>
  <dimension ref="A1:S54"/>
  <sheetViews>
    <sheetView view="pageLayout" zoomScale="90" zoomScalePageLayoutView="90" workbookViewId="0">
      <selection activeCell="B4" sqref="B4"/>
    </sheetView>
  </sheetViews>
  <sheetFormatPr defaultColWidth="11" defaultRowHeight="12.35" x14ac:dyDescent="0.35"/>
  <cols>
    <col min="1" max="1" width="11" style="76"/>
    <col min="2" max="2" width="11.47265625" style="76" customWidth="1"/>
    <col min="3" max="3" width="9.47265625" style="240" customWidth="1"/>
    <col min="4" max="4" width="8.26171875" style="76" customWidth="1"/>
    <col min="5" max="5" width="5.1015625" style="76" customWidth="1"/>
    <col min="6" max="6" width="9.1015625" style="199" customWidth="1"/>
    <col min="7" max="7" width="3.1015625" style="76" hidden="1" customWidth="1"/>
    <col min="8" max="9" width="11.26171875" style="76" customWidth="1"/>
    <col min="10" max="10" width="0.47265625" style="76" hidden="1" customWidth="1"/>
    <col min="11" max="11" width="11.734375" style="76" customWidth="1"/>
    <col min="12" max="12" width="11.3671875" style="76" customWidth="1"/>
    <col min="13" max="13" width="8.47265625" style="76" hidden="1" customWidth="1"/>
    <col min="14" max="14" width="13" style="76" customWidth="1"/>
    <col min="15" max="15" width="13" style="199" customWidth="1"/>
    <col min="16" max="16" width="12.26171875" style="200" customWidth="1"/>
    <col min="17" max="18" width="9.47265625" style="199" customWidth="1"/>
    <col min="19" max="19" width="9.26171875" style="76" customWidth="1"/>
    <col min="20" max="16384" width="11" style="76"/>
  </cols>
  <sheetData>
    <row r="1" spans="1:19" ht="57.6" customHeight="1" x14ac:dyDescent="0.4">
      <c r="A1" s="388" t="s">
        <v>216</v>
      </c>
      <c r="B1" s="388"/>
      <c r="C1" s="388"/>
      <c r="D1" s="388"/>
      <c r="E1" s="388"/>
      <c r="F1" s="389"/>
      <c r="G1" s="389"/>
      <c r="H1" s="389"/>
      <c r="I1" s="389"/>
      <c r="J1" s="389"/>
      <c r="K1" s="389"/>
      <c r="L1" s="389"/>
    </row>
    <row r="2" spans="1:19" ht="57.6" customHeight="1" x14ac:dyDescent="0.35">
      <c r="A2" s="390"/>
      <c r="B2" s="391"/>
      <c r="C2" s="391"/>
      <c r="D2" s="391"/>
      <c r="E2" s="391"/>
      <c r="F2" s="391"/>
      <c r="G2" s="391"/>
      <c r="H2" s="392"/>
      <c r="I2" s="393"/>
      <c r="J2" s="393"/>
      <c r="K2" s="393"/>
      <c r="L2" s="394"/>
    </row>
    <row r="3" spans="1:19" s="207" customFormat="1" ht="117" customHeight="1" x14ac:dyDescent="0.35">
      <c r="A3" s="201" t="s">
        <v>217</v>
      </c>
      <c r="B3" s="202" t="s">
        <v>218</v>
      </c>
      <c r="C3" s="203" t="s">
        <v>219</v>
      </c>
      <c r="D3" s="202" t="s">
        <v>111</v>
      </c>
      <c r="E3" s="202" t="s">
        <v>220</v>
      </c>
      <c r="F3" s="204" t="s">
        <v>221</v>
      </c>
      <c r="G3" s="202" t="s">
        <v>222</v>
      </c>
      <c r="H3" s="202" t="s">
        <v>223</v>
      </c>
      <c r="I3" s="202" t="s">
        <v>224</v>
      </c>
      <c r="J3" s="202" t="s">
        <v>225</v>
      </c>
      <c r="K3" s="202" t="s">
        <v>226</v>
      </c>
      <c r="L3" s="202" t="s">
        <v>227</v>
      </c>
      <c r="M3" s="202" t="s">
        <v>228</v>
      </c>
      <c r="N3" s="202" t="s">
        <v>229</v>
      </c>
      <c r="O3" s="204" t="s">
        <v>230</v>
      </c>
      <c r="P3" s="205" t="s">
        <v>231</v>
      </c>
      <c r="Q3" s="206" t="s">
        <v>232</v>
      </c>
      <c r="R3" s="206" t="s">
        <v>233</v>
      </c>
      <c r="S3" s="206" t="s">
        <v>234</v>
      </c>
    </row>
    <row r="4" spans="1:19" s="208" customFormat="1" ht="27.35" x14ac:dyDescent="0.4">
      <c r="B4" s="209">
        <f>'STEP 1--Field Information'!E6</f>
        <v>0</v>
      </c>
      <c r="C4" s="210">
        <f>'STEP 1--Field Information'!F23</f>
        <v>0</v>
      </c>
      <c r="D4" s="209">
        <f>'STEP 1--Field Information'!E8</f>
        <v>0</v>
      </c>
      <c r="E4" s="209">
        <f>'STEP 2--Soil Test Information'!B4</f>
        <v>0</v>
      </c>
      <c r="F4" s="211">
        <f>'STEP 2--Soil Test Information'!B21</f>
        <v>0</v>
      </c>
      <c r="G4" s="212" t="e">
        <f>'STEP 3--Nutrient Needs'!C11</f>
        <v>#N/A</v>
      </c>
      <c r="H4" s="209" t="str">
        <f>'STEP 4--Choose N'!D2</f>
        <v>Soybean meal, OG</v>
      </c>
      <c r="I4" s="212" t="e">
        <f>'STEP 7--Fertilizer Costs'!F4</f>
        <v>#N/A</v>
      </c>
      <c r="J4" s="212" t="e">
        <f>'STEP 3--Nutrient Needs'!D11</f>
        <v>#N/A</v>
      </c>
      <c r="K4" s="209" t="str">
        <f>'STEP 5--Choose P'!D2</f>
        <v>NONE NEEDED</v>
      </c>
      <c r="L4" s="211">
        <f>'STEP 7--Fertilizer Costs'!F5</f>
        <v>0</v>
      </c>
      <c r="M4" s="209" t="e">
        <f>'STEP 3--Nutrient Needs'!E11</f>
        <v>#N/A</v>
      </c>
      <c r="N4" s="209" t="str">
        <f>'STEP 6--Choose K'!E2</f>
        <v>Sulfate of potash</v>
      </c>
      <c r="O4" s="211" t="e">
        <f>'STEP 7--Fertilizer Costs'!F6</f>
        <v>#N/A</v>
      </c>
      <c r="P4" s="213" t="e">
        <f>(ROUNDUP(VLOOKUP('STEP 4--Choose N'!D2,'N lookup'!A2:Q47,17,FALSE),-1)+ROUNDUP(VLOOKUP('STEP 5--Choose P'!D2,'P lookup'!A2:P16,16,FALSE),-1)+ROUNDUP(VLOOKUP('STEP 6--Choose K'!E2,'K lookup'!A2:P17,15,FALSE),-1))*'STEP 1--Field Information'!F23</f>
        <v>#N/A</v>
      </c>
      <c r="Q4" s="211" t="e">
        <f>C4*(VLOOKUP('STEP 5--Choose P'!D2,'P lookup'!A2:P16,13,FALSE)+VLOOKUP('STEP 4--Choose N'!D2,'N lookup'!A2:Q47,14,FALSE)+VLOOKUP('STEP 6--Choose K'!E2,'K lookup'!A2:P17,12,FALSE))</f>
        <v>#N/A</v>
      </c>
      <c r="R4" s="211" t="e">
        <f>C4*(VLOOKUP('STEP 5--Choose P'!D2,'P lookup'!A2:P16,14,FALSE)+VLOOKUP('STEP 4--Choose N'!D2,'N lookup'!A2:Q47,15,FALSE)+VLOOKUP('STEP 6--Choose K'!E2,'K lookup'!A2:P17,13,FALSE))</f>
        <v>#N/A</v>
      </c>
      <c r="S4" s="211" t="e">
        <f>C4*(VLOOKUP('STEP 5--Choose P'!D2,'P lookup'!A2:P16,15,FALSE)+VLOOKUP('STEP 4--Choose N'!D2,'N lookup'!A2:Q47,16,FALSE)+VLOOKUP('STEP 6--Choose K'!E2,'K lookup'!A2:P17,14,FALSE))</f>
        <v>#N/A</v>
      </c>
    </row>
    <row r="5" spans="1:19" s="208" customFormat="1" ht="13.7" x14ac:dyDescent="0.4">
      <c r="B5" s="214"/>
      <c r="C5" s="215"/>
      <c r="D5" s="214"/>
      <c r="E5" s="214"/>
      <c r="F5" s="216"/>
      <c r="G5" s="217"/>
      <c r="H5" s="214"/>
      <c r="I5" s="217"/>
      <c r="J5" s="217"/>
      <c r="K5" s="214"/>
      <c r="L5" s="216"/>
      <c r="M5" s="214"/>
      <c r="N5" s="214"/>
      <c r="O5" s="216"/>
      <c r="P5" s="218"/>
      <c r="Q5" s="216"/>
      <c r="R5" s="216"/>
      <c r="S5" s="216"/>
    </row>
    <row r="6" spans="1:19" s="208" customFormat="1" ht="13.7" x14ac:dyDescent="0.4">
      <c r="B6" s="214"/>
      <c r="C6" s="215"/>
      <c r="D6" s="214"/>
      <c r="E6" s="214"/>
      <c r="F6" s="216"/>
      <c r="G6" s="217"/>
      <c r="H6" s="214"/>
      <c r="I6" s="217"/>
      <c r="J6" s="217"/>
      <c r="K6" s="214"/>
      <c r="L6" s="216"/>
      <c r="M6" s="214"/>
      <c r="N6" s="214"/>
      <c r="O6" s="216"/>
      <c r="P6" s="218"/>
      <c r="Q6" s="216"/>
      <c r="R6" s="216"/>
      <c r="S6" s="216"/>
    </row>
    <row r="7" spans="1:19" s="208" customFormat="1" ht="13.7" x14ac:dyDescent="0.4">
      <c r="B7" s="214"/>
      <c r="C7" s="215"/>
      <c r="D7" s="214"/>
      <c r="E7" s="214"/>
      <c r="F7" s="216"/>
      <c r="G7" s="217"/>
      <c r="H7" s="214"/>
      <c r="I7" s="217"/>
      <c r="J7" s="217"/>
      <c r="K7" s="214"/>
      <c r="L7" s="216"/>
      <c r="M7" s="214"/>
      <c r="N7" s="214"/>
      <c r="O7" s="216"/>
      <c r="P7" s="218"/>
      <c r="Q7" s="216"/>
      <c r="R7" s="216"/>
      <c r="S7" s="216"/>
    </row>
    <row r="8" spans="1:19" s="208" customFormat="1" ht="13.7" x14ac:dyDescent="0.4">
      <c r="B8" s="214"/>
      <c r="C8" s="215"/>
      <c r="D8" s="214"/>
      <c r="E8" s="214"/>
      <c r="F8" s="216"/>
      <c r="G8" s="217"/>
      <c r="H8" s="214"/>
      <c r="I8" s="217"/>
      <c r="J8" s="217"/>
      <c r="K8" s="214"/>
      <c r="L8" s="216"/>
      <c r="M8" s="214"/>
      <c r="N8" s="214"/>
      <c r="O8" s="216"/>
      <c r="P8" s="218"/>
      <c r="Q8" s="216"/>
      <c r="R8" s="216"/>
      <c r="S8" s="216"/>
    </row>
    <row r="9" spans="1:19" s="208" customFormat="1" ht="13.7" x14ac:dyDescent="0.4">
      <c r="B9" s="214"/>
      <c r="C9" s="215"/>
      <c r="D9" s="214"/>
      <c r="E9" s="214"/>
      <c r="F9" s="216"/>
      <c r="G9" s="217"/>
      <c r="H9" s="214"/>
      <c r="I9" s="217"/>
      <c r="J9" s="217"/>
      <c r="K9" s="214"/>
      <c r="L9" s="216"/>
      <c r="M9" s="214"/>
      <c r="N9" s="214"/>
      <c r="O9" s="216"/>
      <c r="P9" s="218"/>
      <c r="Q9" s="216"/>
      <c r="R9" s="216"/>
      <c r="S9" s="216"/>
    </row>
    <row r="10" spans="1:19" s="208" customFormat="1" ht="13.7" x14ac:dyDescent="0.4">
      <c r="B10" s="214"/>
      <c r="C10" s="215"/>
      <c r="D10" s="214"/>
      <c r="E10" s="214"/>
      <c r="F10" s="216"/>
      <c r="G10" s="217"/>
      <c r="H10" s="214"/>
      <c r="I10" s="217"/>
      <c r="J10" s="217"/>
      <c r="K10" s="214"/>
      <c r="L10" s="216"/>
      <c r="M10" s="214"/>
      <c r="N10" s="214"/>
      <c r="O10" s="216"/>
      <c r="P10" s="218"/>
      <c r="Q10" s="216"/>
      <c r="R10" s="216"/>
      <c r="S10" s="216"/>
    </row>
    <row r="11" spans="1:19" s="208" customFormat="1" ht="13.7" x14ac:dyDescent="0.4">
      <c r="B11" s="214"/>
      <c r="C11" s="215"/>
      <c r="D11" s="214"/>
      <c r="E11" s="214"/>
      <c r="F11" s="216"/>
      <c r="G11" s="217"/>
      <c r="H11" s="214"/>
      <c r="I11" s="217"/>
      <c r="J11" s="217"/>
      <c r="K11" s="214"/>
      <c r="L11" s="216"/>
      <c r="M11" s="214"/>
      <c r="N11" s="214"/>
      <c r="O11" s="216"/>
      <c r="P11" s="218"/>
      <c r="Q11" s="216"/>
      <c r="R11" s="216"/>
      <c r="S11" s="216"/>
    </row>
    <row r="12" spans="1:19" s="208" customFormat="1" ht="13.7" x14ac:dyDescent="0.4">
      <c r="B12" s="214"/>
      <c r="C12" s="215"/>
      <c r="D12" s="214"/>
      <c r="E12" s="214"/>
      <c r="F12" s="216"/>
      <c r="G12" s="217"/>
      <c r="H12" s="214"/>
      <c r="I12" s="217"/>
      <c r="J12" s="217"/>
      <c r="K12" s="214"/>
      <c r="L12" s="216"/>
      <c r="M12" s="214"/>
      <c r="N12" s="214"/>
      <c r="O12" s="216"/>
      <c r="P12" s="218"/>
      <c r="Q12" s="216"/>
      <c r="R12" s="216"/>
      <c r="S12" s="216"/>
    </row>
    <row r="13" spans="1:19" s="208" customFormat="1" ht="13.7" x14ac:dyDescent="0.4">
      <c r="B13" s="214"/>
      <c r="C13" s="215"/>
      <c r="D13" s="214"/>
      <c r="E13" s="214"/>
      <c r="F13" s="216"/>
      <c r="G13" s="217"/>
      <c r="H13" s="214"/>
      <c r="I13" s="217"/>
      <c r="J13" s="217"/>
      <c r="K13" s="214"/>
      <c r="L13" s="216"/>
      <c r="M13" s="214"/>
      <c r="N13" s="214"/>
      <c r="O13" s="216"/>
      <c r="P13" s="218"/>
      <c r="Q13" s="216"/>
      <c r="R13" s="216"/>
      <c r="S13" s="216"/>
    </row>
    <row r="14" spans="1:19" s="208" customFormat="1" ht="13.7" x14ac:dyDescent="0.4">
      <c r="B14" s="214"/>
      <c r="C14" s="215"/>
      <c r="D14" s="214"/>
      <c r="E14" s="214"/>
      <c r="F14" s="216"/>
      <c r="G14" s="217"/>
      <c r="H14" s="214"/>
      <c r="I14" s="217"/>
      <c r="J14" s="217"/>
      <c r="K14" s="214"/>
      <c r="L14" s="216"/>
      <c r="M14" s="214"/>
      <c r="N14" s="214"/>
      <c r="O14" s="216"/>
      <c r="P14" s="218"/>
      <c r="Q14" s="216"/>
      <c r="R14" s="216"/>
      <c r="S14" s="216"/>
    </row>
    <row r="15" spans="1:19" s="208" customFormat="1" ht="13.7" x14ac:dyDescent="0.4">
      <c r="B15" s="214"/>
      <c r="C15" s="215"/>
      <c r="D15" s="214"/>
      <c r="E15" s="214"/>
      <c r="F15" s="216"/>
      <c r="G15" s="217"/>
      <c r="H15" s="214"/>
      <c r="I15" s="217"/>
      <c r="J15" s="217"/>
      <c r="K15" s="214"/>
      <c r="L15" s="216"/>
      <c r="M15" s="214"/>
      <c r="N15" s="214"/>
      <c r="O15" s="216"/>
      <c r="P15" s="218"/>
      <c r="Q15" s="216"/>
      <c r="R15" s="216"/>
      <c r="S15" s="216"/>
    </row>
    <row r="16" spans="1:19" s="208" customFormat="1" ht="13.7" x14ac:dyDescent="0.4">
      <c r="B16" s="214"/>
      <c r="C16" s="215"/>
      <c r="D16" s="214"/>
      <c r="E16" s="214"/>
      <c r="F16" s="216"/>
      <c r="G16" s="217"/>
      <c r="H16" s="214"/>
      <c r="I16" s="217"/>
      <c r="J16" s="217"/>
      <c r="K16" s="214"/>
      <c r="L16" s="216"/>
      <c r="M16" s="214"/>
      <c r="N16" s="214"/>
      <c r="O16" s="216"/>
      <c r="P16" s="218"/>
      <c r="Q16" s="216"/>
      <c r="R16" s="216"/>
      <c r="S16" s="216"/>
    </row>
    <row r="17" spans="2:19" s="208" customFormat="1" ht="13.7" x14ac:dyDescent="0.4">
      <c r="B17" s="214"/>
      <c r="C17" s="215"/>
      <c r="D17" s="214"/>
      <c r="E17" s="214"/>
      <c r="F17" s="216"/>
      <c r="G17" s="217"/>
      <c r="H17" s="214"/>
      <c r="I17" s="217"/>
      <c r="J17" s="217"/>
      <c r="K17" s="214"/>
      <c r="L17" s="216"/>
      <c r="M17" s="214"/>
      <c r="N17" s="214"/>
      <c r="O17" s="216"/>
      <c r="P17" s="218"/>
      <c r="Q17" s="216"/>
      <c r="R17" s="216"/>
      <c r="S17" s="216"/>
    </row>
    <row r="18" spans="2:19" s="208" customFormat="1" ht="13.7" x14ac:dyDescent="0.4">
      <c r="B18" s="214"/>
      <c r="C18" s="215"/>
      <c r="D18" s="214"/>
      <c r="E18" s="214"/>
      <c r="F18" s="216"/>
      <c r="G18" s="217"/>
      <c r="H18" s="214"/>
      <c r="I18" s="217"/>
      <c r="J18" s="217"/>
      <c r="K18" s="214"/>
      <c r="L18" s="216"/>
      <c r="M18" s="214"/>
      <c r="N18" s="214"/>
      <c r="O18" s="216"/>
      <c r="P18" s="218"/>
      <c r="Q18" s="216"/>
      <c r="R18" s="216"/>
      <c r="S18" s="216"/>
    </row>
    <row r="19" spans="2:19" s="208" customFormat="1" ht="13.7" x14ac:dyDescent="0.4">
      <c r="B19" s="214"/>
      <c r="C19" s="215"/>
      <c r="D19" s="214"/>
      <c r="E19" s="214"/>
      <c r="F19" s="216"/>
      <c r="G19" s="217"/>
      <c r="H19" s="214"/>
      <c r="I19" s="217"/>
      <c r="J19" s="217"/>
      <c r="K19" s="214"/>
      <c r="L19" s="216"/>
      <c r="M19" s="214"/>
      <c r="N19" s="214"/>
      <c r="O19" s="216"/>
      <c r="P19" s="218"/>
      <c r="Q19" s="216"/>
      <c r="R19" s="216"/>
      <c r="S19" s="216"/>
    </row>
    <row r="20" spans="2:19" s="208" customFormat="1" ht="13.7" x14ac:dyDescent="0.4">
      <c r="B20" s="214"/>
      <c r="C20" s="215"/>
      <c r="D20" s="214"/>
      <c r="E20" s="214"/>
      <c r="F20" s="216"/>
      <c r="G20" s="217"/>
      <c r="H20" s="214"/>
      <c r="I20" s="217"/>
      <c r="J20" s="217"/>
      <c r="K20" s="214"/>
      <c r="L20" s="216"/>
      <c r="M20" s="214"/>
      <c r="N20" s="214"/>
      <c r="O20" s="216"/>
      <c r="P20" s="218"/>
      <c r="Q20" s="216"/>
      <c r="R20" s="216"/>
      <c r="S20" s="216"/>
    </row>
    <row r="21" spans="2:19" s="219" customFormat="1" x14ac:dyDescent="0.35">
      <c r="B21" s="220"/>
      <c r="C21" s="221"/>
      <c r="D21" s="220"/>
      <c r="E21" s="220"/>
      <c r="F21" s="222"/>
      <c r="G21" s="223"/>
      <c r="H21" s="220"/>
      <c r="I21" s="223"/>
      <c r="J21" s="223"/>
      <c r="K21" s="220"/>
      <c r="L21" s="222"/>
      <c r="M21" s="220"/>
      <c r="N21" s="220"/>
      <c r="O21" s="222"/>
      <c r="P21" s="224"/>
      <c r="Q21" s="222"/>
      <c r="R21" s="222"/>
      <c r="S21" s="222"/>
    </row>
    <row r="22" spans="2:19" s="219" customFormat="1" x14ac:dyDescent="0.35">
      <c r="B22" s="220"/>
      <c r="C22" s="221"/>
      <c r="D22" s="220"/>
      <c r="E22" s="220"/>
      <c r="F22" s="222"/>
      <c r="G22" s="223"/>
      <c r="H22" s="220"/>
      <c r="I22" s="223"/>
      <c r="J22" s="223"/>
      <c r="K22" s="220"/>
      <c r="L22" s="222"/>
      <c r="M22" s="220"/>
      <c r="N22" s="220"/>
      <c r="O22" s="222"/>
      <c r="P22" s="224"/>
      <c r="Q22" s="222"/>
      <c r="R22" s="222"/>
      <c r="S22" s="222"/>
    </row>
    <row r="23" spans="2:19" s="219" customFormat="1" x14ac:dyDescent="0.35">
      <c r="B23" s="220"/>
      <c r="C23" s="221"/>
      <c r="D23" s="220"/>
      <c r="E23" s="220"/>
      <c r="F23" s="222"/>
      <c r="G23" s="223"/>
      <c r="H23" s="220"/>
      <c r="I23" s="223"/>
      <c r="J23" s="223"/>
      <c r="K23" s="220"/>
      <c r="L23" s="222"/>
      <c r="M23" s="220"/>
      <c r="N23" s="220"/>
      <c r="O23" s="222"/>
      <c r="P23" s="224"/>
      <c r="Q23" s="222"/>
      <c r="R23" s="222"/>
      <c r="S23" s="222"/>
    </row>
    <row r="24" spans="2:19" s="219" customFormat="1" x14ac:dyDescent="0.35">
      <c r="B24" s="220"/>
      <c r="C24" s="221"/>
      <c r="D24" s="220"/>
      <c r="E24" s="220"/>
      <c r="F24" s="222"/>
      <c r="G24" s="223"/>
      <c r="H24" s="220"/>
      <c r="I24" s="223"/>
      <c r="J24" s="223"/>
      <c r="K24" s="220"/>
      <c r="L24" s="222"/>
      <c r="M24" s="220"/>
      <c r="N24" s="220"/>
      <c r="O24" s="222"/>
      <c r="P24" s="224"/>
      <c r="Q24" s="222"/>
      <c r="R24" s="222"/>
      <c r="S24" s="222"/>
    </row>
    <row r="25" spans="2:19" s="225" customFormat="1" x14ac:dyDescent="0.35">
      <c r="B25" s="226"/>
      <c r="C25" s="227"/>
      <c r="D25" s="226"/>
      <c r="E25" s="226"/>
      <c r="F25" s="228"/>
      <c r="G25" s="229"/>
      <c r="H25" s="226"/>
      <c r="I25" s="229"/>
      <c r="J25" s="229"/>
      <c r="K25" s="226"/>
      <c r="L25" s="228"/>
      <c r="M25" s="226"/>
      <c r="N25" s="226"/>
      <c r="O25" s="228"/>
      <c r="P25" s="230"/>
      <c r="Q25" s="228"/>
      <c r="R25" s="228"/>
      <c r="S25" s="228"/>
    </row>
    <row r="26" spans="2:19" s="225" customFormat="1" x14ac:dyDescent="0.35">
      <c r="B26" s="226"/>
      <c r="C26" s="227"/>
      <c r="D26" s="226"/>
      <c r="E26" s="226"/>
      <c r="F26" s="228"/>
      <c r="G26" s="229"/>
      <c r="H26" s="226"/>
      <c r="I26" s="229"/>
      <c r="J26" s="229"/>
      <c r="K26" s="226"/>
      <c r="L26" s="228"/>
      <c r="M26" s="226"/>
      <c r="N26" s="226"/>
      <c r="O26" s="228"/>
      <c r="P26" s="230"/>
      <c r="Q26" s="228"/>
      <c r="R26" s="228"/>
      <c r="S26" s="228"/>
    </row>
    <row r="27" spans="2:19" s="225" customFormat="1" x14ac:dyDescent="0.35">
      <c r="B27" s="226"/>
      <c r="C27" s="227"/>
      <c r="D27" s="226"/>
      <c r="E27" s="226"/>
      <c r="F27" s="228"/>
      <c r="G27" s="229"/>
      <c r="H27" s="226"/>
      <c r="I27" s="229"/>
      <c r="J27" s="229"/>
      <c r="K27" s="226"/>
      <c r="L27" s="228"/>
      <c r="M27" s="226"/>
      <c r="N27" s="226"/>
      <c r="O27" s="228"/>
      <c r="P27" s="230"/>
      <c r="Q27" s="228"/>
      <c r="R27" s="228"/>
      <c r="S27" s="228"/>
    </row>
    <row r="28" spans="2:19" s="225" customFormat="1" x14ac:dyDescent="0.35">
      <c r="B28" s="226"/>
      <c r="C28" s="227"/>
      <c r="D28" s="226"/>
      <c r="E28" s="226"/>
      <c r="F28" s="228"/>
      <c r="G28" s="229"/>
      <c r="H28" s="226"/>
      <c r="I28" s="229"/>
      <c r="J28" s="229"/>
      <c r="K28" s="226"/>
      <c r="L28" s="228"/>
      <c r="M28" s="226"/>
      <c r="N28" s="226"/>
      <c r="O28" s="228"/>
      <c r="P28" s="230"/>
      <c r="Q28" s="228"/>
      <c r="R28" s="228"/>
      <c r="S28" s="228"/>
    </row>
    <row r="29" spans="2:19" s="225" customFormat="1" x14ac:dyDescent="0.35">
      <c r="B29" s="226"/>
      <c r="C29" s="227"/>
      <c r="D29" s="226"/>
      <c r="E29" s="226"/>
      <c r="F29" s="228"/>
      <c r="G29" s="229"/>
      <c r="H29" s="226"/>
      <c r="I29" s="229"/>
      <c r="J29" s="229"/>
      <c r="K29" s="226"/>
      <c r="L29" s="228"/>
      <c r="M29" s="226"/>
      <c r="N29" s="226"/>
      <c r="O29" s="228"/>
      <c r="P29" s="230"/>
      <c r="Q29" s="228"/>
      <c r="R29" s="228"/>
      <c r="S29" s="228"/>
    </row>
    <row r="30" spans="2:19" s="225" customFormat="1" x14ac:dyDescent="0.35">
      <c r="B30" s="226"/>
      <c r="C30" s="227"/>
      <c r="D30" s="226"/>
      <c r="E30" s="226"/>
      <c r="F30" s="228"/>
      <c r="G30" s="229"/>
      <c r="H30" s="226"/>
      <c r="I30" s="229"/>
      <c r="J30" s="229"/>
      <c r="K30" s="226"/>
      <c r="L30" s="228"/>
      <c r="M30" s="226"/>
      <c r="N30" s="226"/>
      <c r="O30" s="228"/>
      <c r="P30" s="230"/>
      <c r="Q30" s="228"/>
      <c r="R30" s="228"/>
      <c r="S30" s="228"/>
    </row>
    <row r="31" spans="2:19" s="225" customFormat="1" x14ac:dyDescent="0.35">
      <c r="B31" s="226"/>
      <c r="C31" s="227"/>
      <c r="D31" s="226"/>
      <c r="E31" s="226"/>
      <c r="F31" s="228"/>
      <c r="G31" s="229"/>
      <c r="H31" s="226"/>
      <c r="I31" s="229"/>
      <c r="J31" s="229"/>
      <c r="K31" s="226"/>
      <c r="L31" s="228"/>
      <c r="M31" s="226"/>
      <c r="N31" s="226"/>
      <c r="O31" s="228"/>
      <c r="P31" s="230"/>
      <c r="Q31" s="228"/>
      <c r="R31" s="228"/>
      <c r="S31" s="228"/>
    </row>
    <row r="32" spans="2:19" s="225" customFormat="1" x14ac:dyDescent="0.35">
      <c r="B32" s="226"/>
      <c r="C32" s="227"/>
      <c r="D32" s="226"/>
      <c r="E32" s="226"/>
      <c r="F32" s="228"/>
      <c r="G32" s="229"/>
      <c r="H32" s="226"/>
      <c r="I32" s="229"/>
      <c r="J32" s="229"/>
      <c r="K32" s="226"/>
      <c r="L32" s="228"/>
      <c r="M32" s="226"/>
      <c r="N32" s="226"/>
      <c r="O32" s="228"/>
      <c r="P32" s="230"/>
      <c r="Q32" s="228"/>
      <c r="R32" s="228"/>
      <c r="S32" s="228"/>
    </row>
    <row r="33" spans="2:19" s="225" customFormat="1" x14ac:dyDescent="0.35">
      <c r="B33" s="226"/>
      <c r="C33" s="227"/>
      <c r="D33" s="226"/>
      <c r="E33" s="226"/>
      <c r="F33" s="228"/>
      <c r="G33" s="229"/>
      <c r="H33" s="226"/>
      <c r="I33" s="229"/>
      <c r="J33" s="229"/>
      <c r="K33" s="226"/>
      <c r="L33" s="228"/>
      <c r="M33" s="226"/>
      <c r="N33" s="226"/>
      <c r="O33" s="228"/>
      <c r="P33" s="230"/>
      <c r="Q33" s="228"/>
      <c r="R33" s="228"/>
      <c r="S33" s="228"/>
    </row>
    <row r="34" spans="2:19" s="225" customFormat="1" x14ac:dyDescent="0.35">
      <c r="B34" s="226"/>
      <c r="C34" s="227"/>
      <c r="D34" s="226"/>
      <c r="E34" s="226"/>
      <c r="F34" s="228"/>
      <c r="G34" s="229"/>
      <c r="H34" s="226"/>
      <c r="I34" s="229"/>
      <c r="J34" s="229"/>
      <c r="K34" s="226"/>
      <c r="L34" s="228"/>
      <c r="M34" s="226"/>
      <c r="N34" s="226"/>
      <c r="O34" s="228"/>
      <c r="P34" s="230"/>
      <c r="Q34" s="228"/>
      <c r="R34" s="228"/>
      <c r="S34" s="228"/>
    </row>
    <row r="35" spans="2:19" s="225" customFormat="1" x14ac:dyDescent="0.35">
      <c r="B35" s="226"/>
      <c r="C35" s="227"/>
      <c r="D35" s="226"/>
      <c r="E35" s="226"/>
      <c r="F35" s="228"/>
      <c r="G35" s="229"/>
      <c r="H35" s="226"/>
      <c r="I35" s="229"/>
      <c r="J35" s="229"/>
      <c r="K35" s="226"/>
      <c r="L35" s="228"/>
      <c r="M35" s="226"/>
      <c r="N35" s="226"/>
      <c r="O35" s="228"/>
      <c r="P35" s="230"/>
      <c r="Q35" s="228"/>
      <c r="R35" s="228"/>
      <c r="S35" s="228"/>
    </row>
    <row r="36" spans="2:19" s="225" customFormat="1" x14ac:dyDescent="0.35">
      <c r="B36" s="226"/>
      <c r="C36" s="227"/>
      <c r="D36" s="226"/>
      <c r="E36" s="226"/>
      <c r="F36" s="228"/>
      <c r="G36" s="229"/>
      <c r="H36" s="226"/>
      <c r="I36" s="229"/>
      <c r="J36" s="229"/>
      <c r="K36" s="226"/>
      <c r="L36" s="228"/>
      <c r="M36" s="226"/>
      <c r="N36" s="226"/>
      <c r="O36" s="228"/>
      <c r="P36" s="230"/>
      <c r="Q36" s="228"/>
      <c r="R36" s="228"/>
      <c r="S36" s="228"/>
    </row>
    <row r="37" spans="2:19" s="225" customFormat="1" x14ac:dyDescent="0.35">
      <c r="B37" s="226"/>
      <c r="C37" s="227"/>
      <c r="D37" s="226"/>
      <c r="E37" s="226"/>
      <c r="F37" s="228"/>
      <c r="G37" s="229"/>
      <c r="H37" s="226"/>
      <c r="I37" s="229"/>
      <c r="J37" s="229"/>
      <c r="K37" s="226"/>
      <c r="L37" s="228"/>
      <c r="M37" s="226"/>
      <c r="N37" s="226"/>
      <c r="O37" s="228"/>
      <c r="P37" s="230"/>
      <c r="Q37" s="228"/>
      <c r="R37" s="228"/>
      <c r="S37" s="228"/>
    </row>
    <row r="38" spans="2:19" s="225" customFormat="1" x14ac:dyDescent="0.35">
      <c r="B38" s="226"/>
      <c r="C38" s="227"/>
      <c r="D38" s="226"/>
      <c r="E38" s="226"/>
      <c r="F38" s="228"/>
      <c r="G38" s="229"/>
      <c r="H38" s="226"/>
      <c r="I38" s="229"/>
      <c r="J38" s="229"/>
      <c r="K38" s="226"/>
      <c r="L38" s="228"/>
      <c r="M38" s="226"/>
      <c r="N38" s="226"/>
      <c r="O38" s="228"/>
      <c r="P38" s="230"/>
      <c r="Q38" s="228"/>
      <c r="R38" s="228"/>
      <c r="S38" s="228"/>
    </row>
    <row r="39" spans="2:19" s="225" customFormat="1" x14ac:dyDescent="0.35">
      <c r="C39" s="231"/>
      <c r="F39" s="232"/>
      <c r="G39" s="233"/>
      <c r="I39" s="233"/>
      <c r="J39" s="233"/>
      <c r="L39" s="232"/>
      <c r="O39" s="232"/>
      <c r="P39" s="234"/>
      <c r="Q39" s="232"/>
      <c r="R39" s="232"/>
      <c r="S39" s="232"/>
    </row>
    <row r="40" spans="2:19" s="225" customFormat="1" x14ac:dyDescent="0.35">
      <c r="C40" s="231"/>
      <c r="F40" s="232"/>
      <c r="G40" s="233"/>
      <c r="I40" s="233"/>
      <c r="J40" s="233"/>
      <c r="L40" s="232"/>
      <c r="O40" s="232"/>
      <c r="P40" s="234"/>
      <c r="Q40" s="232"/>
      <c r="R40" s="232"/>
    </row>
    <row r="41" spans="2:19" s="225" customFormat="1" x14ac:dyDescent="0.35">
      <c r="C41" s="231"/>
      <c r="F41" s="232"/>
      <c r="G41" s="233"/>
      <c r="I41" s="233"/>
      <c r="J41" s="233"/>
      <c r="L41" s="232"/>
      <c r="O41" s="232"/>
      <c r="P41" s="234"/>
      <c r="Q41" s="232"/>
      <c r="R41" s="232"/>
    </row>
    <row r="42" spans="2:19" s="225" customFormat="1" x14ac:dyDescent="0.35">
      <c r="C42" s="231"/>
      <c r="F42" s="232"/>
      <c r="G42" s="233"/>
      <c r="I42" s="233"/>
      <c r="J42" s="233"/>
      <c r="L42" s="232"/>
      <c r="O42" s="232"/>
      <c r="P42" s="234"/>
      <c r="Q42" s="232"/>
      <c r="R42" s="232"/>
    </row>
    <row r="43" spans="2:19" s="225" customFormat="1" x14ac:dyDescent="0.35">
      <c r="C43" s="231"/>
      <c r="F43" s="232"/>
      <c r="G43" s="233"/>
      <c r="I43" s="233"/>
      <c r="J43" s="233"/>
      <c r="L43" s="232"/>
      <c r="O43" s="232"/>
      <c r="P43" s="234"/>
      <c r="Q43" s="232"/>
      <c r="R43" s="232"/>
    </row>
    <row r="44" spans="2:19" s="225" customFormat="1" x14ac:dyDescent="0.35">
      <c r="C44" s="231"/>
      <c r="F44" s="232"/>
      <c r="G44" s="233"/>
      <c r="I44" s="233"/>
      <c r="J44" s="233"/>
      <c r="L44" s="232"/>
      <c r="O44" s="232"/>
      <c r="P44" s="234"/>
      <c r="Q44" s="232"/>
      <c r="R44" s="232"/>
    </row>
    <row r="45" spans="2:19" s="236" customFormat="1" x14ac:dyDescent="0.35">
      <c r="C45" s="235"/>
      <c r="F45" s="237"/>
      <c r="G45" s="238"/>
      <c r="I45" s="238"/>
      <c r="J45" s="238"/>
      <c r="L45" s="237"/>
      <c r="O45" s="237"/>
      <c r="P45" s="239"/>
      <c r="Q45" s="237"/>
      <c r="R45" s="237"/>
    </row>
    <row r="46" spans="2:19" s="236" customFormat="1" x14ac:dyDescent="0.35">
      <c r="C46" s="235"/>
      <c r="F46" s="237"/>
      <c r="G46" s="238"/>
      <c r="I46" s="238"/>
      <c r="J46" s="238"/>
      <c r="L46" s="237"/>
      <c r="O46" s="237"/>
      <c r="P46" s="239"/>
      <c r="Q46" s="237"/>
      <c r="R46" s="237"/>
    </row>
    <row r="47" spans="2:19" s="236" customFormat="1" x14ac:dyDescent="0.35">
      <c r="C47" s="235"/>
      <c r="F47" s="237"/>
      <c r="G47" s="238"/>
      <c r="I47" s="238"/>
      <c r="J47" s="238"/>
      <c r="L47" s="237"/>
      <c r="O47" s="237"/>
      <c r="P47" s="239"/>
      <c r="Q47" s="237"/>
      <c r="R47" s="237"/>
    </row>
    <row r="48" spans="2:19" s="236" customFormat="1" x14ac:dyDescent="0.35">
      <c r="C48" s="235"/>
      <c r="F48" s="237"/>
      <c r="G48" s="238"/>
      <c r="I48" s="238"/>
      <c r="J48" s="238"/>
      <c r="L48" s="237"/>
      <c r="O48" s="237"/>
      <c r="P48" s="239"/>
      <c r="Q48" s="237"/>
      <c r="R48" s="237"/>
    </row>
    <row r="49" spans="3:18" s="236" customFormat="1" x14ac:dyDescent="0.35">
      <c r="C49" s="235"/>
      <c r="F49" s="237"/>
      <c r="G49" s="238"/>
      <c r="I49" s="238"/>
      <c r="J49" s="238"/>
      <c r="L49" s="237"/>
      <c r="O49" s="237"/>
      <c r="P49" s="239"/>
      <c r="Q49" s="237"/>
      <c r="R49" s="237"/>
    </row>
    <row r="50" spans="3:18" s="236" customFormat="1" x14ac:dyDescent="0.35">
      <c r="C50" s="235"/>
      <c r="F50" s="237"/>
      <c r="G50" s="238"/>
      <c r="I50" s="238"/>
      <c r="J50" s="238"/>
      <c r="L50" s="237"/>
      <c r="O50" s="237"/>
      <c r="P50" s="239"/>
      <c r="Q50" s="237"/>
      <c r="R50" s="237"/>
    </row>
    <row r="51" spans="3:18" s="236" customFormat="1" x14ac:dyDescent="0.35">
      <c r="C51" s="235"/>
      <c r="F51" s="237"/>
      <c r="G51" s="238"/>
      <c r="I51" s="238"/>
      <c r="J51" s="238"/>
      <c r="L51" s="237"/>
      <c r="O51" s="237"/>
      <c r="P51" s="239"/>
      <c r="Q51" s="237"/>
      <c r="R51" s="237"/>
    </row>
    <row r="52" spans="3:18" s="236" customFormat="1" x14ac:dyDescent="0.35">
      <c r="C52" s="235"/>
      <c r="F52" s="237"/>
      <c r="G52" s="238"/>
      <c r="I52" s="238"/>
      <c r="J52" s="238"/>
      <c r="L52" s="237"/>
      <c r="O52" s="237"/>
      <c r="P52" s="239"/>
      <c r="Q52" s="237"/>
      <c r="R52" s="237"/>
    </row>
    <row r="53" spans="3:18" s="236" customFormat="1" x14ac:dyDescent="0.35">
      <c r="C53" s="235"/>
      <c r="F53" s="237"/>
      <c r="G53" s="238"/>
      <c r="I53" s="238"/>
      <c r="J53" s="238"/>
      <c r="L53" s="237"/>
      <c r="O53" s="237"/>
      <c r="P53" s="239"/>
      <c r="Q53" s="237"/>
      <c r="R53" s="237"/>
    </row>
    <row r="54" spans="3:18" s="236" customFormat="1" x14ac:dyDescent="0.35">
      <c r="C54" s="235"/>
      <c r="F54" s="237"/>
      <c r="G54" s="238"/>
      <c r="I54" s="238"/>
      <c r="J54" s="238"/>
      <c r="L54" s="237"/>
      <c r="O54" s="237"/>
      <c r="P54" s="239"/>
      <c r="Q54" s="237"/>
      <c r="R54" s="237"/>
    </row>
  </sheetData>
  <mergeCells count="3">
    <mergeCell ref="A1:L1"/>
    <mergeCell ref="A2:G2"/>
    <mergeCell ref="H2:L2"/>
  </mergeCells>
  <pageMargins left="0.75" right="0.75" top="1" bottom="1" header="0.5" footer="0.5"/>
  <pageSetup orientation="landscape" horizontalDpi="4294967292" verticalDpi="4294967292" r:id="rId1"/>
  <headerFooter>
    <oddHeader xml:space="preserve">&amp;L&amp;"Verdana,Bold"&amp;14Soil Amendment Plan   &amp;C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Button 1">
              <controlPr defaultSize="0" print="0" autoFill="0" autoPict="0" macro="[0]!SaveLine">
                <anchor moveWithCells="1" sizeWithCells="1">
                  <from>
                    <xdr:col>0</xdr:col>
                    <xdr:colOff>12700</xdr:colOff>
                    <xdr:row>3</xdr:row>
                    <xdr:rowOff>12700</xdr:rowOff>
                  </from>
                  <to>
                    <xdr:col>1</xdr:col>
                    <xdr:colOff>12700</xdr:colOff>
                    <xdr:row>4</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0" tint="-0.14999847407452621"/>
  </sheetPr>
  <dimension ref="A1:M50"/>
  <sheetViews>
    <sheetView view="pageLayout" zoomScale="70" zoomScalePageLayoutView="70" workbookViewId="0">
      <selection activeCell="H62" sqref="H62"/>
    </sheetView>
  </sheetViews>
  <sheetFormatPr defaultColWidth="11.47265625" defaultRowHeight="15.35" x14ac:dyDescent="0.45"/>
  <cols>
    <col min="1" max="1" width="18.26171875" style="74" customWidth="1"/>
    <col min="2" max="2" width="7.26171875" style="79" customWidth="1"/>
    <col min="3" max="3" width="7.734375" style="79" customWidth="1"/>
    <col min="4" max="4" width="6.62890625" style="79" customWidth="1"/>
    <col min="5" max="6" width="5.734375" style="79" bestFit="1" customWidth="1"/>
    <col min="7" max="7" width="5.62890625" style="79" customWidth="1"/>
    <col min="8" max="8" width="11.47265625" style="76" customWidth="1"/>
    <col min="9" max="9" width="8.3671875" style="77" customWidth="1"/>
    <col min="10" max="10" width="8.1015625" style="77" bestFit="1" customWidth="1"/>
    <col min="11" max="11" width="9.26171875" style="77" bestFit="1" customWidth="1"/>
    <col min="12" max="12" width="9.26171875" style="78" bestFit="1" customWidth="1"/>
    <col min="13" max="16384" width="11.47265625" style="76"/>
  </cols>
  <sheetData>
    <row r="1" spans="1:13" s="68" customFormat="1" ht="54.95" customHeight="1" x14ac:dyDescent="0.35">
      <c r="A1" s="80" t="s">
        <v>235</v>
      </c>
      <c r="B1" s="81" t="s">
        <v>236</v>
      </c>
      <c r="C1" s="81" t="s">
        <v>237</v>
      </c>
      <c r="D1" s="81" t="s">
        <v>238</v>
      </c>
      <c r="E1" s="81" t="s">
        <v>239</v>
      </c>
      <c r="F1" s="81" t="s">
        <v>240</v>
      </c>
      <c r="G1" s="81" t="s">
        <v>241</v>
      </c>
      <c r="H1" s="81" t="s">
        <v>242</v>
      </c>
      <c r="I1" s="82" t="s">
        <v>243</v>
      </c>
      <c r="J1" s="82" t="s">
        <v>244</v>
      </c>
      <c r="K1" s="82" t="s">
        <v>245</v>
      </c>
      <c r="L1" s="82" t="s">
        <v>246</v>
      </c>
      <c r="M1" s="68" t="s">
        <v>247</v>
      </c>
    </row>
    <row r="2" spans="1:13" s="74" customFormat="1" ht="26.1" customHeight="1" x14ac:dyDescent="0.45">
      <c r="A2" s="83" t="s">
        <v>248</v>
      </c>
      <c r="B2" s="69">
        <v>0.03</v>
      </c>
      <c r="C2" s="70">
        <v>5.0000000000000001E-3</v>
      </c>
      <c r="D2" s="70">
        <v>2.5000000000000001E-2</v>
      </c>
      <c r="E2" s="69"/>
      <c r="F2" s="69"/>
      <c r="G2" s="69"/>
      <c r="H2" s="71" t="s">
        <v>249</v>
      </c>
      <c r="I2" s="241">
        <v>31.06</v>
      </c>
      <c r="J2" s="72">
        <f>I2*2/(B2*100)</f>
        <v>20.706666666666667</v>
      </c>
      <c r="K2" s="72">
        <f>I2*2/(C2*100)</f>
        <v>124.24</v>
      </c>
      <c r="L2" s="72">
        <f>I2*2/(D2*100)</f>
        <v>24.847999999999999</v>
      </c>
      <c r="M2" s="74" t="s">
        <v>250</v>
      </c>
    </row>
    <row r="3" spans="1:13" x14ac:dyDescent="0.45">
      <c r="A3" s="84" t="s">
        <v>251</v>
      </c>
      <c r="B3" s="69"/>
      <c r="C3" s="69"/>
      <c r="D3" s="69"/>
      <c r="E3" s="69"/>
      <c r="F3" s="69"/>
      <c r="G3" s="69"/>
      <c r="H3" s="71"/>
      <c r="I3" s="241">
        <f>50/44*50</f>
        <v>56.81818181818182</v>
      </c>
      <c r="J3" s="72"/>
      <c r="K3" s="72"/>
      <c r="L3" s="73"/>
      <c r="M3" s="76" t="s">
        <v>252</v>
      </c>
    </row>
    <row r="4" spans="1:13" x14ac:dyDescent="0.45">
      <c r="A4" s="83" t="s">
        <v>253</v>
      </c>
      <c r="B4" s="69">
        <v>0.13</v>
      </c>
      <c r="C4" s="70">
        <v>0</v>
      </c>
      <c r="D4" s="70">
        <v>0</v>
      </c>
      <c r="E4" s="69"/>
      <c r="F4" s="69"/>
      <c r="G4" s="69"/>
      <c r="H4" s="71" t="s">
        <v>254</v>
      </c>
      <c r="I4" s="241">
        <v>91.49</v>
      </c>
      <c r="J4" s="72">
        <f>I4*2/(B4*100)</f>
        <v>14.075384615384614</v>
      </c>
      <c r="K4" s="72"/>
      <c r="L4" s="72"/>
      <c r="M4" s="76" t="s">
        <v>250</v>
      </c>
    </row>
    <row r="5" spans="1:13" x14ac:dyDescent="0.45">
      <c r="A5" s="83" t="s">
        <v>255</v>
      </c>
      <c r="B5" s="69">
        <v>0.03</v>
      </c>
      <c r="C5" s="69">
        <v>0.15</v>
      </c>
      <c r="D5" s="69"/>
      <c r="E5" s="69"/>
      <c r="F5" s="69"/>
      <c r="G5" s="69"/>
      <c r="H5" s="71" t="s">
        <v>256</v>
      </c>
      <c r="I5" s="241">
        <v>71</v>
      </c>
      <c r="J5" s="72">
        <f>I5*2/(B5*100)</f>
        <v>47.333333333333336</v>
      </c>
      <c r="K5" s="72">
        <f>I5*2/(C5*100)</f>
        <v>9.4666666666666668</v>
      </c>
      <c r="L5" s="73"/>
      <c r="M5" s="76" t="s">
        <v>250</v>
      </c>
    </row>
    <row r="6" spans="1:13" x14ac:dyDescent="0.45">
      <c r="A6" s="83" t="s">
        <v>257</v>
      </c>
      <c r="B6" s="69">
        <v>0</v>
      </c>
      <c r="C6" s="69">
        <v>0.16</v>
      </c>
      <c r="D6" s="69">
        <v>0</v>
      </c>
      <c r="E6" s="69"/>
      <c r="F6" s="69"/>
      <c r="G6" s="69"/>
      <c r="H6" s="71" t="s">
        <v>258</v>
      </c>
      <c r="I6" s="241">
        <v>47.2</v>
      </c>
      <c r="J6" s="72"/>
      <c r="K6" s="72">
        <f>I6*2/(C6*100)</f>
        <v>5.9</v>
      </c>
      <c r="L6" s="73"/>
      <c r="M6" s="76" t="s">
        <v>250</v>
      </c>
    </row>
    <row r="7" spans="1:13" x14ac:dyDescent="0.45">
      <c r="A7" s="83" t="s">
        <v>259</v>
      </c>
      <c r="B7" s="69"/>
      <c r="C7" s="69"/>
      <c r="D7" s="69"/>
      <c r="E7" s="69">
        <v>0.38</v>
      </c>
      <c r="F7" s="69"/>
      <c r="G7" s="69"/>
      <c r="H7" s="71" t="s">
        <v>256</v>
      </c>
      <c r="I7" s="242"/>
      <c r="J7" s="72"/>
      <c r="K7" s="72"/>
      <c r="L7" s="73"/>
    </row>
    <row r="8" spans="1:13" x14ac:dyDescent="0.45">
      <c r="A8" s="83" t="s">
        <v>260</v>
      </c>
      <c r="B8" s="69">
        <v>0.15</v>
      </c>
      <c r="C8" s="69"/>
      <c r="D8" s="69">
        <v>0.02</v>
      </c>
      <c r="E8" s="69"/>
      <c r="F8" s="69"/>
      <c r="G8" s="69"/>
      <c r="H8" s="71" t="s">
        <v>261</v>
      </c>
      <c r="I8" s="241">
        <v>76.540000000000006</v>
      </c>
      <c r="J8" s="72">
        <f>I8*2/(B8*100)</f>
        <v>10.205333333333334</v>
      </c>
      <c r="K8" s="72"/>
      <c r="L8" s="73"/>
      <c r="M8" s="76" t="s">
        <v>250</v>
      </c>
    </row>
    <row r="9" spans="1:13" ht="46" x14ac:dyDescent="0.45">
      <c r="A9" s="84" t="s">
        <v>262</v>
      </c>
      <c r="B9" s="69">
        <v>0.05</v>
      </c>
      <c r="C9" s="69">
        <v>0.04</v>
      </c>
      <c r="D9" s="69">
        <v>0.03</v>
      </c>
      <c r="E9" s="69">
        <v>0.09</v>
      </c>
      <c r="F9" s="69"/>
      <c r="G9" s="69"/>
      <c r="H9" s="71" t="s">
        <v>184</v>
      </c>
      <c r="I9" s="241">
        <v>15</v>
      </c>
      <c r="J9" s="72">
        <f>I9*2/(B9*100)</f>
        <v>6</v>
      </c>
      <c r="K9" s="72">
        <f>I9*2/(C9*100)</f>
        <v>7.5</v>
      </c>
      <c r="L9" s="72">
        <f>I9*2/(D9*100)</f>
        <v>10</v>
      </c>
      <c r="M9" s="76" t="s">
        <v>252</v>
      </c>
    </row>
    <row r="10" spans="1:13" ht="46" x14ac:dyDescent="0.45">
      <c r="A10" s="85" t="s">
        <v>263</v>
      </c>
      <c r="B10" s="69">
        <v>0.04</v>
      </c>
      <c r="C10" s="69">
        <v>0.03</v>
      </c>
      <c r="D10" s="69">
        <v>0.1</v>
      </c>
      <c r="E10" s="69"/>
      <c r="F10" s="69"/>
      <c r="G10" s="69"/>
      <c r="H10" s="71" t="s">
        <v>184</v>
      </c>
      <c r="I10" s="241">
        <v>22.5</v>
      </c>
      <c r="J10" s="72">
        <f>I10*2/(B10*100)</f>
        <v>11.25</v>
      </c>
      <c r="K10" s="72">
        <f>I10*2/(C10*100)</f>
        <v>15</v>
      </c>
      <c r="L10" s="72">
        <f>I10*2/(D10*100)</f>
        <v>4.5</v>
      </c>
      <c r="M10" s="76" t="s">
        <v>252</v>
      </c>
    </row>
    <row r="11" spans="1:13" ht="46" x14ac:dyDescent="0.45">
      <c r="A11" s="85" t="s">
        <v>264</v>
      </c>
      <c r="B11" s="69">
        <v>7.0000000000000007E-2</v>
      </c>
      <c r="C11" s="69">
        <v>0.02</v>
      </c>
      <c r="D11" s="69">
        <v>0.06</v>
      </c>
      <c r="E11" s="69"/>
      <c r="F11" s="69"/>
      <c r="G11" s="69"/>
      <c r="H11" s="71" t="s">
        <v>184</v>
      </c>
      <c r="I11" s="241">
        <v>28.75</v>
      </c>
      <c r="J11" s="72">
        <f>I11*2/(B11*100)</f>
        <v>8.2142857142857135</v>
      </c>
      <c r="K11" s="72"/>
      <c r="L11" s="72"/>
      <c r="M11" s="76" t="s">
        <v>252</v>
      </c>
    </row>
    <row r="12" spans="1:13" ht="46" x14ac:dyDescent="0.45">
      <c r="A12" s="85" t="s">
        <v>265</v>
      </c>
      <c r="B12" s="69">
        <v>0.08</v>
      </c>
      <c r="C12" s="69">
        <v>0.02</v>
      </c>
      <c r="D12" s="69">
        <v>0.02</v>
      </c>
      <c r="E12" s="69"/>
      <c r="F12" s="69"/>
      <c r="G12" s="69"/>
      <c r="H12" s="71" t="s">
        <v>184</v>
      </c>
      <c r="I12" s="241">
        <v>28.75</v>
      </c>
      <c r="J12" s="72">
        <f>I12*2/(B12*100)</f>
        <v>7.1875</v>
      </c>
      <c r="K12" s="72">
        <f>I12*2/(C12*100)</f>
        <v>28.75</v>
      </c>
      <c r="L12" s="72">
        <f>I12*2/(D12*100)</f>
        <v>28.75</v>
      </c>
      <c r="M12" s="76" t="s">
        <v>252</v>
      </c>
    </row>
    <row r="13" spans="1:13" ht="30.7" x14ac:dyDescent="0.45">
      <c r="A13" s="75" t="s">
        <v>266</v>
      </c>
      <c r="B13" s="69"/>
      <c r="C13" s="69">
        <v>0.46</v>
      </c>
      <c r="D13" s="69"/>
      <c r="E13" s="69"/>
      <c r="F13" s="69"/>
      <c r="G13" s="69"/>
      <c r="H13" s="71" t="s">
        <v>261</v>
      </c>
      <c r="I13" s="242">
        <f>473/40</f>
        <v>11.824999999999999</v>
      </c>
      <c r="J13" s="72"/>
      <c r="K13" s="72">
        <f>I13*2/(C13*100)</f>
        <v>0.51413043478260867</v>
      </c>
      <c r="L13" s="73"/>
      <c r="M13" s="76" t="s">
        <v>252</v>
      </c>
    </row>
    <row r="14" spans="1:13" s="77" customFormat="1" ht="30.7" x14ac:dyDescent="0.45">
      <c r="A14" s="83" t="s">
        <v>267</v>
      </c>
      <c r="B14" s="69"/>
      <c r="C14" s="69"/>
      <c r="D14" s="69"/>
      <c r="E14" s="69">
        <v>0.25</v>
      </c>
      <c r="F14" s="69">
        <v>0.1</v>
      </c>
      <c r="G14" s="69"/>
      <c r="H14" s="71" t="s">
        <v>256</v>
      </c>
      <c r="I14" s="242"/>
      <c r="J14" s="72"/>
      <c r="K14" s="72"/>
      <c r="L14" s="73"/>
      <c r="M14" s="76"/>
    </row>
    <row r="15" spans="1:13" s="77" customFormat="1" ht="30.7" x14ac:dyDescent="0.45">
      <c r="A15" s="83" t="s">
        <v>268</v>
      </c>
      <c r="B15" s="69"/>
      <c r="C15" s="69"/>
      <c r="D15" s="69"/>
      <c r="E15" s="69"/>
      <c r="F15" s="69">
        <v>9.8000000000000004E-2</v>
      </c>
      <c r="G15" s="69">
        <v>0.13</v>
      </c>
      <c r="H15" s="71" t="s">
        <v>261</v>
      </c>
      <c r="I15" s="242">
        <v>21.52</v>
      </c>
      <c r="J15" s="72"/>
      <c r="K15" s="72"/>
      <c r="L15" s="73"/>
      <c r="M15" s="77" t="s">
        <v>250</v>
      </c>
    </row>
    <row r="16" spans="1:13" s="77" customFormat="1" x14ac:dyDescent="0.45">
      <c r="A16" s="83" t="s">
        <v>269</v>
      </c>
      <c r="B16" s="69">
        <v>0.13</v>
      </c>
      <c r="C16" s="69"/>
      <c r="D16" s="69"/>
      <c r="E16" s="69"/>
      <c r="F16" s="69"/>
      <c r="G16" s="69"/>
      <c r="H16" s="71" t="s">
        <v>256</v>
      </c>
      <c r="I16" s="241">
        <v>56.77</v>
      </c>
      <c r="J16" s="72">
        <f>I16*2/(B16*100)</f>
        <v>8.7338461538461551</v>
      </c>
      <c r="K16" s="72"/>
      <c r="L16" s="73"/>
      <c r="M16" s="77" t="s">
        <v>250</v>
      </c>
    </row>
    <row r="17" spans="1:13" s="77" customFormat="1" x14ac:dyDescent="0.45">
      <c r="A17" s="83" t="s">
        <v>270</v>
      </c>
      <c r="B17" s="69">
        <v>0.02</v>
      </c>
      <c r="C17" s="69">
        <v>0.05</v>
      </c>
      <c r="D17" s="70">
        <v>2.0000000000000001E-4</v>
      </c>
      <c r="E17" s="69"/>
      <c r="F17" s="69"/>
      <c r="G17" s="69"/>
      <c r="H17" s="71" t="s">
        <v>258</v>
      </c>
      <c r="I17" s="241">
        <v>109</v>
      </c>
      <c r="J17" s="72"/>
      <c r="K17" s="72"/>
      <c r="L17" s="73"/>
      <c r="M17" s="77" t="s">
        <v>271</v>
      </c>
    </row>
    <row r="18" spans="1:13" s="77" customFormat="1" x14ac:dyDescent="0.45">
      <c r="A18" s="83" t="s">
        <v>272</v>
      </c>
      <c r="B18" s="69">
        <v>6.7000000000000004E-2</v>
      </c>
      <c r="C18" s="69">
        <v>0.11</v>
      </c>
      <c r="D18" s="70">
        <v>4.0000000000000001E-3</v>
      </c>
      <c r="E18" s="69"/>
      <c r="F18" s="69"/>
      <c r="G18" s="69"/>
      <c r="H18" s="71" t="s">
        <v>256</v>
      </c>
      <c r="I18" s="241">
        <v>112</v>
      </c>
      <c r="J18" s="72">
        <f>I18*2/(B18*100)</f>
        <v>33.432835820895519</v>
      </c>
      <c r="K18" s="72">
        <f>I18*2/(C18*100)</f>
        <v>20.363636363636363</v>
      </c>
      <c r="L18" s="73"/>
      <c r="M18" s="77" t="s">
        <v>271</v>
      </c>
    </row>
    <row r="19" spans="1:13" s="77" customFormat="1" ht="46" x14ac:dyDescent="0.45">
      <c r="A19" s="83" t="s">
        <v>273</v>
      </c>
      <c r="B19" s="69">
        <v>0.02</v>
      </c>
      <c r="C19" s="69">
        <v>0.03</v>
      </c>
      <c r="D19" s="69">
        <v>1.4999999999999999E-2</v>
      </c>
      <c r="E19" s="69">
        <v>7.0000000000000007E-2</v>
      </c>
      <c r="F19" s="69">
        <v>0.01</v>
      </c>
      <c r="G19" s="69">
        <v>0.05</v>
      </c>
      <c r="H19" s="71" t="s">
        <v>184</v>
      </c>
      <c r="I19" s="241">
        <f>40/2000*50</f>
        <v>1</v>
      </c>
      <c r="J19" s="72">
        <f>I19*2/(B19*100)</f>
        <v>1</v>
      </c>
      <c r="K19" s="72">
        <f>I19*2/(C19*100)</f>
        <v>0.66666666666666663</v>
      </c>
      <c r="L19" s="72">
        <f>I19*2/(D19*100)</f>
        <v>1.3333333333333333</v>
      </c>
      <c r="M19" s="77" t="s">
        <v>274</v>
      </c>
    </row>
    <row r="20" spans="1:13" s="77" customFormat="1" x14ac:dyDescent="0.45">
      <c r="A20" s="83" t="s">
        <v>183</v>
      </c>
      <c r="B20" s="69">
        <v>0.04</v>
      </c>
      <c r="C20" s="69">
        <v>0.03</v>
      </c>
      <c r="D20" s="69">
        <v>0.02</v>
      </c>
      <c r="E20" s="69"/>
      <c r="F20" s="69"/>
      <c r="G20" s="69"/>
      <c r="H20" s="71" t="s">
        <v>184</v>
      </c>
      <c r="I20" s="242">
        <v>8.3000000000000007</v>
      </c>
      <c r="J20" s="72">
        <f>I20*2/(B20*100)</f>
        <v>4.1500000000000004</v>
      </c>
      <c r="K20" s="72">
        <f>I20*2/(C20*100)</f>
        <v>5.5333333333333341</v>
      </c>
      <c r="L20" s="72">
        <f>I20*2/(D20*100)</f>
        <v>8.3000000000000007</v>
      </c>
    </row>
    <row r="21" spans="1:13" s="77" customFormat="1" x14ac:dyDescent="0.45">
      <c r="A21" s="83" t="s">
        <v>275</v>
      </c>
      <c r="B21" s="69"/>
      <c r="C21" s="69"/>
      <c r="D21" s="69">
        <v>0.06</v>
      </c>
      <c r="E21" s="69"/>
      <c r="F21" s="69">
        <v>0.11</v>
      </c>
      <c r="G21" s="69">
        <v>0.22</v>
      </c>
      <c r="H21" s="71" t="s">
        <v>276</v>
      </c>
      <c r="I21" s="242">
        <v>89</v>
      </c>
      <c r="J21" s="72"/>
      <c r="K21" s="72"/>
      <c r="L21" s="72">
        <f>I21*2/(D21*100)</f>
        <v>29.666666666666668</v>
      </c>
    </row>
    <row r="22" spans="1:13" s="77" customFormat="1" x14ac:dyDescent="0.45">
      <c r="A22" s="83" t="s">
        <v>277</v>
      </c>
      <c r="B22" s="69"/>
      <c r="C22" s="69">
        <v>0.01</v>
      </c>
      <c r="D22" s="69">
        <v>7.0000000000000007E-2</v>
      </c>
      <c r="E22" s="69"/>
      <c r="F22" s="69"/>
      <c r="G22" s="69"/>
      <c r="H22" s="71" t="s">
        <v>276</v>
      </c>
      <c r="I22" s="242">
        <v>31.5</v>
      </c>
      <c r="J22" s="72"/>
      <c r="K22" s="72"/>
      <c r="L22" s="72">
        <f>I22*2/(D22*100)</f>
        <v>8.9999999999999982</v>
      </c>
    </row>
    <row r="23" spans="1:13" s="77" customFormat="1" x14ac:dyDescent="0.45">
      <c r="A23" s="83" t="s">
        <v>278</v>
      </c>
      <c r="B23" s="69"/>
      <c r="C23" s="69"/>
      <c r="D23" s="69"/>
      <c r="E23" s="69">
        <v>0.23</v>
      </c>
      <c r="F23" s="69"/>
      <c r="G23" s="69"/>
      <c r="H23" s="71"/>
      <c r="I23" s="241">
        <v>24</v>
      </c>
      <c r="J23" s="72"/>
      <c r="K23" s="72"/>
      <c r="L23" s="73"/>
      <c r="M23" s="77" t="s">
        <v>271</v>
      </c>
    </row>
    <row r="24" spans="1:13" x14ac:dyDescent="0.45">
      <c r="A24" s="83" t="s">
        <v>279</v>
      </c>
      <c r="B24" s="69"/>
      <c r="C24" s="69"/>
      <c r="D24" s="69">
        <v>0.22</v>
      </c>
      <c r="E24" s="69"/>
      <c r="F24" s="69">
        <v>0.11</v>
      </c>
      <c r="G24" s="69">
        <v>0.22</v>
      </c>
      <c r="H24" s="71" t="s">
        <v>261</v>
      </c>
      <c r="I24" s="241">
        <v>27.65</v>
      </c>
      <c r="J24" s="72"/>
      <c r="K24" s="72"/>
      <c r="L24" s="72">
        <f>I24*2/(D24*100)</f>
        <v>2.5136363636363637</v>
      </c>
      <c r="M24" s="76" t="s">
        <v>250</v>
      </c>
    </row>
    <row r="25" spans="1:13" s="77" customFormat="1" x14ac:dyDescent="0.45">
      <c r="A25" s="83" t="s">
        <v>280</v>
      </c>
      <c r="B25" s="69"/>
      <c r="C25" s="69"/>
      <c r="D25" s="69"/>
      <c r="E25" s="69"/>
      <c r="F25" s="69"/>
      <c r="G25" s="69"/>
      <c r="H25" s="71"/>
      <c r="I25" s="241">
        <v>98</v>
      </c>
      <c r="J25" s="72"/>
      <c r="K25" s="72"/>
      <c r="L25" s="73"/>
      <c r="M25" s="77" t="s">
        <v>271</v>
      </c>
    </row>
    <row r="26" spans="1:13" s="77" customFormat="1" x14ac:dyDescent="0.45">
      <c r="A26" s="83" t="s">
        <v>281</v>
      </c>
      <c r="B26" s="69"/>
      <c r="C26" s="69"/>
      <c r="D26" s="69"/>
      <c r="E26" s="69"/>
      <c r="F26" s="69"/>
      <c r="G26" s="69"/>
      <c r="H26" s="71"/>
      <c r="I26" s="241">
        <v>200</v>
      </c>
      <c r="J26" s="72"/>
      <c r="K26" s="72"/>
      <c r="L26" s="73"/>
      <c r="M26" s="77" t="s">
        <v>282</v>
      </c>
    </row>
    <row r="27" spans="1:13" s="77" customFormat="1" x14ac:dyDescent="0.45">
      <c r="A27" s="83" t="s">
        <v>283</v>
      </c>
      <c r="B27" s="69">
        <v>0</v>
      </c>
      <c r="C27" s="69">
        <v>0</v>
      </c>
      <c r="D27" s="69">
        <v>0.6</v>
      </c>
      <c r="E27" s="69"/>
      <c r="F27" s="69"/>
      <c r="G27" s="69"/>
      <c r="H27" s="71"/>
      <c r="I27" s="241">
        <v>36.25</v>
      </c>
      <c r="J27" s="72"/>
      <c r="K27" s="72"/>
      <c r="L27" s="73"/>
      <c r="M27" s="77" t="s">
        <v>282</v>
      </c>
    </row>
    <row r="28" spans="1:13" s="77" customFormat="1" x14ac:dyDescent="0.45">
      <c r="A28" s="83" t="s">
        <v>284</v>
      </c>
      <c r="B28" s="69">
        <v>0.13</v>
      </c>
      <c r="C28" s="69">
        <v>0</v>
      </c>
      <c r="D28" s="69">
        <v>0</v>
      </c>
      <c r="E28" s="69"/>
      <c r="F28" s="69"/>
      <c r="G28" s="69"/>
      <c r="H28" s="71" t="s">
        <v>184</v>
      </c>
      <c r="I28" s="241">
        <v>42.5</v>
      </c>
      <c r="J28" s="72">
        <f>I28*2/(B28*100)</f>
        <v>6.5384615384615383</v>
      </c>
      <c r="K28" s="72"/>
      <c r="L28" s="73"/>
      <c r="M28" s="77" t="s">
        <v>282</v>
      </c>
    </row>
    <row r="29" spans="1:13" s="77" customFormat="1" x14ac:dyDescent="0.45">
      <c r="A29" s="83" t="s">
        <v>284</v>
      </c>
      <c r="B29" s="69">
        <v>7.0000000000000007E-2</v>
      </c>
      <c r="C29" s="69">
        <v>0.12</v>
      </c>
      <c r="D29" s="69">
        <v>0</v>
      </c>
      <c r="E29" s="69"/>
      <c r="F29" s="69"/>
      <c r="G29" s="69"/>
      <c r="H29" s="71"/>
      <c r="I29" s="241">
        <f>28/40*50</f>
        <v>35</v>
      </c>
      <c r="J29" s="72">
        <f>I29*2/(B29*100)</f>
        <v>9.9999999999999982</v>
      </c>
      <c r="K29" s="72"/>
      <c r="L29" s="73"/>
      <c r="M29" s="77" t="s">
        <v>282</v>
      </c>
    </row>
    <row r="30" spans="1:13" x14ac:dyDescent="0.45">
      <c r="A30" s="83" t="s">
        <v>284</v>
      </c>
      <c r="B30" s="69">
        <v>0.1</v>
      </c>
      <c r="C30" s="69">
        <v>0.02</v>
      </c>
      <c r="D30" s="69">
        <v>0.08</v>
      </c>
      <c r="E30" s="69"/>
      <c r="F30" s="69"/>
      <c r="G30" s="69"/>
      <c r="H30" s="71"/>
      <c r="I30" s="241">
        <v>36.25</v>
      </c>
      <c r="J30" s="72">
        <f>I30*2/(B30*100)</f>
        <v>7.25</v>
      </c>
      <c r="K30" s="72"/>
      <c r="L30" s="73"/>
      <c r="M30" s="77" t="s">
        <v>282</v>
      </c>
    </row>
    <row r="31" spans="1:13" ht="30.7" x14ac:dyDescent="0.45">
      <c r="A31" s="83" t="s">
        <v>285</v>
      </c>
      <c r="B31" s="69">
        <v>0</v>
      </c>
      <c r="C31" s="69">
        <v>0.12</v>
      </c>
      <c r="D31" s="69">
        <v>0</v>
      </c>
      <c r="E31" s="69">
        <v>0.25</v>
      </c>
      <c r="F31" s="69"/>
      <c r="G31" s="69"/>
      <c r="H31" s="71"/>
      <c r="I31" s="241"/>
      <c r="J31" s="72"/>
      <c r="K31" s="72"/>
      <c r="L31" s="73"/>
      <c r="M31" s="77" t="s">
        <v>282</v>
      </c>
    </row>
    <row r="32" spans="1:13" s="77" customFormat="1" x14ac:dyDescent="0.45">
      <c r="A32" s="83" t="s">
        <v>286</v>
      </c>
      <c r="B32" s="69">
        <v>0.08</v>
      </c>
      <c r="C32" s="69">
        <v>0.01</v>
      </c>
      <c r="D32" s="69">
        <v>0.02</v>
      </c>
      <c r="E32" s="69"/>
      <c r="F32" s="69"/>
      <c r="G32" s="69"/>
      <c r="H32" s="71" t="s">
        <v>249</v>
      </c>
      <c r="I32" s="241">
        <v>28</v>
      </c>
      <c r="J32" s="72">
        <f>I32*2/(B32*100)</f>
        <v>7</v>
      </c>
      <c r="K32" s="72">
        <f>I32*2/(C32*100)</f>
        <v>56</v>
      </c>
      <c r="L32" s="72">
        <f>I32*2/(D32*100)</f>
        <v>28</v>
      </c>
      <c r="M32" s="77" t="s">
        <v>250</v>
      </c>
    </row>
    <row r="33" spans="1:13" ht="30.7" x14ac:dyDescent="0.45">
      <c r="A33" s="75" t="s">
        <v>287</v>
      </c>
      <c r="B33" s="69"/>
      <c r="C33" s="69"/>
      <c r="D33" s="69">
        <v>0.6</v>
      </c>
      <c r="E33" s="69"/>
      <c r="F33" s="69"/>
      <c r="G33" s="69"/>
      <c r="H33" s="71" t="s">
        <v>261</v>
      </c>
      <c r="I33" s="241">
        <f>740/2000*50</f>
        <v>18.5</v>
      </c>
      <c r="J33" s="72"/>
      <c r="K33" s="72"/>
      <c r="L33" s="72">
        <f>I33*2/(D33*100)</f>
        <v>0.6166666666666667</v>
      </c>
      <c r="M33" s="77" t="s">
        <v>282</v>
      </c>
    </row>
    <row r="34" spans="1:13" x14ac:dyDescent="0.45">
      <c r="A34" s="84" t="s">
        <v>288</v>
      </c>
      <c r="B34" s="69">
        <v>0</v>
      </c>
      <c r="C34" s="69">
        <v>0</v>
      </c>
      <c r="D34" s="69">
        <v>0.14000000000000001</v>
      </c>
      <c r="E34" s="69">
        <v>0.12</v>
      </c>
      <c r="F34" s="243">
        <v>3.5999999999999997E-2</v>
      </c>
      <c r="G34" s="69">
        <v>0.19</v>
      </c>
      <c r="H34" s="71"/>
      <c r="I34" s="241">
        <v>20</v>
      </c>
      <c r="J34" s="72"/>
      <c r="K34" s="72"/>
      <c r="L34" s="72"/>
      <c r="M34" s="77" t="s">
        <v>282</v>
      </c>
    </row>
    <row r="35" spans="1:13" ht="16" x14ac:dyDescent="0.55000000000000004">
      <c r="A35" s="83" t="s">
        <v>289</v>
      </c>
      <c r="B35" s="69"/>
      <c r="C35" s="69">
        <v>0.05</v>
      </c>
      <c r="D35" s="69"/>
      <c r="E35" s="69"/>
      <c r="F35" s="244"/>
      <c r="G35" s="245"/>
      <c r="H35" s="71" t="s">
        <v>290</v>
      </c>
      <c r="I35" s="241">
        <v>25</v>
      </c>
      <c r="J35" s="72"/>
      <c r="K35" s="72">
        <f>I35*2/(C35*100)</f>
        <v>10</v>
      </c>
      <c r="L35" s="73"/>
      <c r="M35" s="76" t="s">
        <v>271</v>
      </c>
    </row>
    <row r="36" spans="1:13" ht="16" x14ac:dyDescent="0.55000000000000004">
      <c r="A36" s="83" t="s">
        <v>291</v>
      </c>
      <c r="B36" s="69"/>
      <c r="C36" s="69"/>
      <c r="D36" s="69"/>
      <c r="E36" s="69"/>
      <c r="F36" s="244"/>
      <c r="G36" s="245"/>
      <c r="H36" s="246" t="s">
        <v>292</v>
      </c>
      <c r="I36" s="241">
        <v>90</v>
      </c>
      <c r="J36" s="72"/>
      <c r="K36" s="72"/>
      <c r="L36" s="73"/>
      <c r="M36" s="76" t="s">
        <v>282</v>
      </c>
    </row>
    <row r="37" spans="1:13" x14ac:dyDescent="0.45">
      <c r="A37" s="83" t="s">
        <v>293</v>
      </c>
      <c r="B37" s="69">
        <v>7.0000000000000007E-2</v>
      </c>
      <c r="C37" s="69">
        <v>0.01</v>
      </c>
      <c r="D37" s="69">
        <v>0.02</v>
      </c>
      <c r="E37" s="69"/>
      <c r="F37" s="69">
        <v>0.03</v>
      </c>
      <c r="G37" s="69"/>
      <c r="H37" s="71" t="s">
        <v>294</v>
      </c>
      <c r="I37" s="242">
        <v>17</v>
      </c>
      <c r="J37" s="72">
        <f>I37*2/(B37*100)</f>
        <v>4.8571428571428568</v>
      </c>
      <c r="K37" s="72">
        <f>I37*2/(C37*100)</f>
        <v>34</v>
      </c>
      <c r="L37" s="72">
        <f>I37*2/(D37*100)</f>
        <v>17</v>
      </c>
      <c r="M37" s="76" t="s">
        <v>295</v>
      </c>
    </row>
    <row r="38" spans="1:13" ht="30.7" x14ac:dyDescent="0.45">
      <c r="A38" s="83" t="s">
        <v>156</v>
      </c>
      <c r="B38" s="69">
        <v>7.0000000000000007E-2</v>
      </c>
      <c r="C38" s="69">
        <v>0.01</v>
      </c>
      <c r="D38" s="69">
        <v>0.02</v>
      </c>
      <c r="E38" s="69"/>
      <c r="F38" s="69"/>
      <c r="G38" s="69"/>
      <c r="H38" s="71" t="s">
        <v>294</v>
      </c>
      <c r="I38" s="241">
        <v>43.6</v>
      </c>
      <c r="J38" s="72">
        <f>I38*2/(B38*100)</f>
        <v>12.457142857142856</v>
      </c>
      <c r="K38" s="72">
        <f>I38*2/(C38*100)</f>
        <v>87.2</v>
      </c>
      <c r="L38" s="72">
        <f>I38*2/(D38*100)</f>
        <v>43.6</v>
      </c>
      <c r="M38" s="76" t="s">
        <v>250</v>
      </c>
    </row>
    <row r="39" spans="1:13" x14ac:dyDescent="0.45">
      <c r="A39" s="83" t="s">
        <v>198</v>
      </c>
      <c r="B39" s="69">
        <v>0</v>
      </c>
      <c r="C39" s="69">
        <v>0</v>
      </c>
      <c r="D39" s="69">
        <v>0.5</v>
      </c>
      <c r="E39" s="69"/>
      <c r="F39" s="69"/>
      <c r="G39" s="69">
        <v>0.17</v>
      </c>
      <c r="H39" s="71" t="s">
        <v>261</v>
      </c>
      <c r="I39" s="241">
        <v>34.14</v>
      </c>
      <c r="J39" s="72"/>
      <c r="K39" s="72"/>
      <c r="L39" s="72">
        <f>I39*2/(D39*100)</f>
        <v>1.3655999999999999</v>
      </c>
      <c r="M39" s="77" t="s">
        <v>250</v>
      </c>
    </row>
    <row r="40" spans="1:13" s="77" customFormat="1" x14ac:dyDescent="0.45">
      <c r="A40" s="83" t="s">
        <v>296</v>
      </c>
      <c r="B40" s="69">
        <v>0</v>
      </c>
      <c r="C40" s="69">
        <v>0</v>
      </c>
      <c r="D40" s="69">
        <v>0.52</v>
      </c>
      <c r="E40" s="69"/>
      <c r="F40" s="69"/>
      <c r="G40" s="69"/>
      <c r="H40" s="71"/>
      <c r="I40" s="241">
        <v>54.3</v>
      </c>
      <c r="J40" s="72"/>
      <c r="K40" s="72"/>
      <c r="L40" s="72"/>
      <c r="M40" s="77" t="s">
        <v>250</v>
      </c>
    </row>
    <row r="41" spans="1:13" s="77" customFormat="1" ht="30.7" x14ac:dyDescent="0.45">
      <c r="A41" s="75" t="s">
        <v>297</v>
      </c>
      <c r="B41" s="69">
        <v>0.18</v>
      </c>
      <c r="C41" s="69">
        <v>0.46</v>
      </c>
      <c r="D41" s="69"/>
      <c r="E41" s="69"/>
      <c r="F41" s="69"/>
      <c r="G41" s="69"/>
      <c r="H41" s="71" t="s">
        <v>261</v>
      </c>
      <c r="I41" s="241">
        <f>980/2000*50</f>
        <v>24.5</v>
      </c>
      <c r="J41" s="72"/>
      <c r="K41" s="72">
        <f>I41*2/(C41*100)</f>
        <v>1.0652173913043479</v>
      </c>
      <c r="L41" s="73"/>
      <c r="M41" s="76" t="s">
        <v>282</v>
      </c>
    </row>
    <row r="42" spans="1:13" s="77" customFormat="1" x14ac:dyDescent="0.45">
      <c r="A42" s="75" t="s">
        <v>298</v>
      </c>
      <c r="B42" s="69">
        <v>0.46</v>
      </c>
      <c r="C42" s="69"/>
      <c r="D42" s="69"/>
      <c r="E42" s="69"/>
      <c r="F42" s="69"/>
      <c r="G42" s="69"/>
      <c r="H42" s="71" t="s">
        <v>261</v>
      </c>
      <c r="I42" s="241">
        <f>750/2000*50</f>
        <v>18.75</v>
      </c>
      <c r="J42" s="72">
        <f>I42*2/(B42*100)</f>
        <v>0.81521739130434778</v>
      </c>
      <c r="K42" s="72"/>
      <c r="L42" s="73"/>
      <c r="M42" s="76" t="s">
        <v>282</v>
      </c>
    </row>
    <row r="43" spans="1:13" s="77" customFormat="1" x14ac:dyDescent="0.45">
      <c r="A43" s="75" t="s">
        <v>299</v>
      </c>
      <c r="B43" s="69"/>
      <c r="C43" s="69"/>
      <c r="D43" s="69"/>
      <c r="E43" s="69"/>
      <c r="F43" s="69"/>
      <c r="G43" s="69">
        <v>0.9</v>
      </c>
      <c r="H43" s="71" t="s">
        <v>249</v>
      </c>
      <c r="I43" s="241">
        <v>38</v>
      </c>
      <c r="J43" s="72"/>
      <c r="K43" s="72"/>
      <c r="L43" s="73"/>
      <c r="M43" s="76" t="s">
        <v>271</v>
      </c>
    </row>
    <row r="44" spans="1:13" s="77" customFormat="1" ht="16" x14ac:dyDescent="0.55000000000000004">
      <c r="A44" s="395" t="s">
        <v>300</v>
      </c>
      <c r="B44" s="396"/>
      <c r="C44" s="396"/>
      <c r="D44" s="69"/>
      <c r="E44" s="69"/>
      <c r="F44" s="69"/>
      <c r="G44" s="69"/>
      <c r="H44" s="71"/>
      <c r="I44" s="242"/>
      <c r="J44" s="72"/>
      <c r="K44" s="72"/>
      <c r="L44" s="73"/>
      <c r="M44" s="76"/>
    </row>
    <row r="45" spans="1:13" s="77" customFormat="1" x14ac:dyDescent="0.45">
      <c r="A45" s="247" t="s">
        <v>301</v>
      </c>
      <c r="B45" s="69">
        <v>0.1</v>
      </c>
      <c r="C45" s="69">
        <v>0.1</v>
      </c>
      <c r="D45" s="69">
        <v>0.1</v>
      </c>
      <c r="E45" s="69"/>
      <c r="F45" s="69"/>
      <c r="G45" s="69"/>
      <c r="H45" s="71" t="s">
        <v>256</v>
      </c>
      <c r="I45" s="241">
        <f>500/2000*50</f>
        <v>12.5</v>
      </c>
      <c r="J45" s="72">
        <f t="shared" ref="J45:J50" si="0">I45*2/(B45*100)</f>
        <v>2.5</v>
      </c>
      <c r="K45" s="72">
        <f>I45*2/(C45*100)</f>
        <v>2.5</v>
      </c>
      <c r="L45" s="72">
        <f>I45*2/(D45*100)</f>
        <v>2.5</v>
      </c>
      <c r="M45" s="76"/>
    </row>
    <row r="46" spans="1:13" s="77" customFormat="1" ht="44.1" customHeight="1" x14ac:dyDescent="0.45">
      <c r="A46" s="83" t="s">
        <v>302</v>
      </c>
      <c r="B46" s="69">
        <v>0.04</v>
      </c>
      <c r="C46" s="69">
        <v>0.03</v>
      </c>
      <c r="D46" s="69">
        <v>0.03</v>
      </c>
      <c r="E46" s="69"/>
      <c r="F46" s="69"/>
      <c r="G46" s="69"/>
      <c r="H46" s="71" t="s">
        <v>256</v>
      </c>
      <c r="I46" s="241">
        <v>27.65</v>
      </c>
      <c r="J46" s="72">
        <f t="shared" si="0"/>
        <v>13.824999999999999</v>
      </c>
      <c r="K46" s="72">
        <f>I46*2/(C46*100)</f>
        <v>18.433333333333334</v>
      </c>
      <c r="L46" s="72">
        <f>I46*2/(D46*100)</f>
        <v>18.433333333333334</v>
      </c>
      <c r="M46" s="76" t="s">
        <v>250</v>
      </c>
    </row>
    <row r="47" spans="1:13" x14ac:dyDescent="0.45">
      <c r="A47" s="83" t="s">
        <v>303</v>
      </c>
      <c r="B47" s="69">
        <v>0.06</v>
      </c>
      <c r="C47" s="69"/>
      <c r="D47" s="69">
        <v>0.06</v>
      </c>
      <c r="E47" s="69"/>
      <c r="F47" s="69"/>
      <c r="G47" s="69"/>
      <c r="H47" s="71" t="s">
        <v>256</v>
      </c>
      <c r="I47" s="241">
        <v>38.69</v>
      </c>
      <c r="J47" s="72">
        <f t="shared" si="0"/>
        <v>12.896666666666667</v>
      </c>
      <c r="K47" s="72"/>
      <c r="L47" s="72">
        <f>I47*2/(D47*100)</f>
        <v>12.896666666666667</v>
      </c>
      <c r="M47" s="76" t="s">
        <v>250</v>
      </c>
    </row>
    <row r="48" spans="1:13" x14ac:dyDescent="0.45">
      <c r="A48" s="83" t="s">
        <v>304</v>
      </c>
      <c r="B48" s="69">
        <v>0.02</v>
      </c>
      <c r="C48" s="69">
        <v>0.03</v>
      </c>
      <c r="D48" s="69">
        <v>0.03</v>
      </c>
      <c r="E48" s="69"/>
      <c r="F48" s="69"/>
      <c r="G48" s="69"/>
      <c r="H48" s="71" t="s">
        <v>254</v>
      </c>
      <c r="I48" s="241">
        <v>20</v>
      </c>
      <c r="J48" s="72">
        <f t="shared" si="0"/>
        <v>20</v>
      </c>
      <c r="K48" s="72">
        <f>I48*2/(C48*100)</f>
        <v>13.333333333333334</v>
      </c>
      <c r="L48" s="72">
        <f>I48*2/(D48*100)</f>
        <v>13.333333333333334</v>
      </c>
      <c r="M48" s="77" t="s">
        <v>250</v>
      </c>
    </row>
    <row r="49" spans="1:13" x14ac:dyDescent="0.45">
      <c r="A49" s="83" t="s">
        <v>305</v>
      </c>
      <c r="B49" s="69">
        <v>0.1</v>
      </c>
      <c r="C49" s="69"/>
      <c r="D49" s="69"/>
      <c r="E49" s="69"/>
      <c r="F49" s="69"/>
      <c r="G49" s="69"/>
      <c r="H49" s="71" t="s">
        <v>254</v>
      </c>
      <c r="I49" s="241">
        <v>45.43</v>
      </c>
      <c r="J49" s="72">
        <f t="shared" si="0"/>
        <v>9.0860000000000003</v>
      </c>
      <c r="K49" s="72"/>
      <c r="L49" s="73"/>
      <c r="M49" s="77" t="s">
        <v>250</v>
      </c>
    </row>
    <row r="50" spans="1:13" x14ac:dyDescent="0.45">
      <c r="A50" s="83" t="s">
        <v>306</v>
      </c>
      <c r="B50" s="69">
        <v>0.05</v>
      </c>
      <c r="C50" s="69">
        <v>0.03</v>
      </c>
      <c r="D50" s="69">
        <v>0.04</v>
      </c>
      <c r="E50" s="69"/>
      <c r="F50" s="69"/>
      <c r="G50" s="69"/>
      <c r="H50" s="71" t="s">
        <v>256</v>
      </c>
      <c r="I50" s="241">
        <v>31.6</v>
      </c>
      <c r="J50" s="72">
        <f t="shared" si="0"/>
        <v>12.64</v>
      </c>
      <c r="K50" s="72">
        <f>I50*2/(C50*100)</f>
        <v>21.066666666666666</v>
      </c>
      <c r="L50" s="72">
        <f>I50*2/(D50*100)</f>
        <v>15.8</v>
      </c>
      <c r="M50" s="77" t="s">
        <v>250</v>
      </c>
    </row>
  </sheetData>
  <mergeCells count="1">
    <mergeCell ref="A44:C44"/>
  </mergeCells>
  <pageMargins left="0.75" right="0.75" top="1" bottom="1" header="0.5" footer="0.5"/>
  <pageSetup orientation="landscape" horizontalDpi="4294967292" verticalDpi="4294967292" r:id="rId1"/>
  <headerFooter>
    <oddHeader xml:space="preserve">&amp;C&amp;"-,Bold"&amp;16Amendment Cost* Per Unit of Nutrient - 2025
</oddHeader>
    <oddFooter xml:space="preserve">&amp;LShading = alllowed for organic production. Be sure to check with your certification agency to confirm approval of materials and brands.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L56"/>
  <sheetViews>
    <sheetView view="pageLayout" topLeftCell="A13" workbookViewId="0">
      <selection activeCell="F18" sqref="F18"/>
    </sheetView>
  </sheetViews>
  <sheetFormatPr defaultColWidth="11" defaultRowHeight="12.35" x14ac:dyDescent="0.35"/>
  <cols>
    <col min="1" max="1" width="18.26171875" style="1" customWidth="1"/>
    <col min="2" max="2" width="6.734375" style="2" customWidth="1"/>
    <col min="3" max="3" width="7.47265625" style="2" customWidth="1"/>
    <col min="4" max="4" width="6.26171875" style="2" customWidth="1"/>
    <col min="5" max="5" width="5.26171875" style="2" customWidth="1"/>
    <col min="6" max="6" width="4.734375" style="2" customWidth="1"/>
    <col min="7" max="7" width="5.734375" style="2" customWidth="1"/>
    <col min="8" max="8" width="8.89453125" customWidth="1"/>
    <col min="9" max="9" width="11" style="14"/>
    <col min="10" max="10" width="6.734375" style="14" customWidth="1"/>
    <col min="11" max="11" width="7.26171875" style="14" customWidth="1"/>
    <col min="12" max="12" width="8" style="14" customWidth="1"/>
  </cols>
  <sheetData>
    <row r="1" spans="1:12" s="23" customFormat="1" ht="117.95" customHeight="1" x14ac:dyDescent="0.35">
      <c r="A1" s="307" t="s">
        <v>307</v>
      </c>
      <c r="B1" s="318" t="s">
        <v>166</v>
      </c>
      <c r="C1" s="318" t="s">
        <v>167</v>
      </c>
      <c r="D1" s="318" t="s">
        <v>168</v>
      </c>
      <c r="E1" s="318" t="s">
        <v>169</v>
      </c>
      <c r="F1" s="318" t="s">
        <v>170</v>
      </c>
      <c r="G1" s="318" t="s">
        <v>171</v>
      </c>
      <c r="H1" s="307" t="s">
        <v>172</v>
      </c>
      <c r="I1" s="319" t="s">
        <v>308</v>
      </c>
      <c r="J1" s="319" t="s">
        <v>174</v>
      </c>
      <c r="K1" s="319" t="s">
        <v>309</v>
      </c>
      <c r="L1" s="319" t="s">
        <v>310</v>
      </c>
    </row>
    <row r="2" spans="1:12" s="1" customFormat="1" ht="36" customHeight="1" x14ac:dyDescent="0.35">
      <c r="A2" s="16" t="s">
        <v>311</v>
      </c>
      <c r="B2" s="17"/>
      <c r="C2" s="17"/>
      <c r="D2" s="17"/>
      <c r="E2" s="17"/>
      <c r="F2" s="17"/>
      <c r="G2" s="17"/>
      <c r="I2" s="27"/>
      <c r="J2" s="27"/>
      <c r="K2" s="27"/>
      <c r="L2" s="27"/>
    </row>
    <row r="3" spans="1:12" x14ac:dyDescent="0.35">
      <c r="A3" s="18" t="s">
        <v>312</v>
      </c>
      <c r="B3" s="2">
        <v>0.03</v>
      </c>
      <c r="C3" s="33">
        <v>5.0000000000000001E-3</v>
      </c>
      <c r="D3" s="33">
        <v>2.5000000000000001E-2</v>
      </c>
      <c r="H3" t="s">
        <v>313</v>
      </c>
      <c r="I3" s="14">
        <v>31</v>
      </c>
      <c r="J3" s="14">
        <f>I3*2/3</f>
        <v>20.666666666666668</v>
      </c>
      <c r="K3" s="14">
        <f>62/0.5</f>
        <v>124</v>
      </c>
      <c r="L3" s="14">
        <f>62/2.5</f>
        <v>24.8</v>
      </c>
    </row>
    <row r="4" spans="1:12" x14ac:dyDescent="0.35">
      <c r="A4" s="1" t="s">
        <v>314</v>
      </c>
      <c r="B4" s="2">
        <v>0.34</v>
      </c>
      <c r="H4" t="s">
        <v>315</v>
      </c>
      <c r="I4" s="14">
        <v>12</v>
      </c>
      <c r="J4" s="14">
        <f>24/34</f>
        <v>0.70588235294117652</v>
      </c>
    </row>
    <row r="5" spans="1:12" x14ac:dyDescent="0.35">
      <c r="A5" s="1" t="s">
        <v>316</v>
      </c>
      <c r="B5" s="2">
        <v>0.21</v>
      </c>
      <c r="G5" s="2">
        <v>0.23</v>
      </c>
      <c r="H5" t="s">
        <v>315</v>
      </c>
    </row>
    <row r="6" spans="1:12" x14ac:dyDescent="0.35">
      <c r="A6" s="18" t="s">
        <v>317</v>
      </c>
      <c r="B6" s="2">
        <v>0.12</v>
      </c>
      <c r="C6" s="33">
        <v>0.01</v>
      </c>
      <c r="D6" s="33">
        <v>5.0000000000000001E-3</v>
      </c>
      <c r="H6" t="s">
        <v>318</v>
      </c>
      <c r="I6" s="14">
        <v>82</v>
      </c>
      <c r="J6" s="14">
        <f>164/12</f>
        <v>13.666666666666666</v>
      </c>
      <c r="K6" s="14">
        <f>164/1</f>
        <v>164</v>
      </c>
      <c r="L6" s="14">
        <f>164/0.5</f>
        <v>328</v>
      </c>
    </row>
    <row r="7" spans="1:12" x14ac:dyDescent="0.35">
      <c r="A7" s="18" t="s">
        <v>319</v>
      </c>
      <c r="C7" s="2">
        <v>0.16</v>
      </c>
      <c r="H7" t="s">
        <v>195</v>
      </c>
      <c r="I7" s="14">
        <v>16</v>
      </c>
      <c r="K7" s="14">
        <f>32/16</f>
        <v>2</v>
      </c>
    </row>
    <row r="8" spans="1:12" x14ac:dyDescent="0.35">
      <c r="A8" s="18" t="s">
        <v>320</v>
      </c>
      <c r="B8" s="2">
        <v>0.03</v>
      </c>
      <c r="C8" s="2">
        <v>0.15</v>
      </c>
      <c r="H8" t="s">
        <v>195</v>
      </c>
      <c r="I8" s="14">
        <v>70</v>
      </c>
      <c r="J8" s="14">
        <f>140/3</f>
        <v>46.666666666666664</v>
      </c>
      <c r="K8" s="14">
        <f>140/15</f>
        <v>9.3333333333333339</v>
      </c>
    </row>
    <row r="9" spans="1:12" x14ac:dyDescent="0.35">
      <c r="A9" s="18" t="s">
        <v>321</v>
      </c>
      <c r="E9" s="19">
        <v>0.38</v>
      </c>
      <c r="F9" s="19"/>
      <c r="G9" s="19"/>
      <c r="H9" t="s">
        <v>195</v>
      </c>
    </row>
    <row r="10" spans="1:12" x14ac:dyDescent="0.35">
      <c r="A10" s="1" t="s">
        <v>322</v>
      </c>
      <c r="B10" s="2">
        <v>0.15</v>
      </c>
      <c r="E10" s="2">
        <v>0.19</v>
      </c>
      <c r="H10" t="s">
        <v>315</v>
      </c>
    </row>
    <row r="11" spans="1:12" x14ac:dyDescent="0.35">
      <c r="A11" s="18" t="s">
        <v>323</v>
      </c>
      <c r="B11" s="2">
        <v>0.16</v>
      </c>
      <c r="H11" t="s">
        <v>315</v>
      </c>
      <c r="I11" s="14">
        <v>50</v>
      </c>
      <c r="J11" s="14">
        <f>100/16</f>
        <v>6.25</v>
      </c>
    </row>
    <row r="12" spans="1:12" ht="24.7" x14ac:dyDescent="0.35">
      <c r="A12" s="1" t="s">
        <v>324</v>
      </c>
      <c r="C12" s="2">
        <v>0.46</v>
      </c>
      <c r="H12" t="s">
        <v>315</v>
      </c>
      <c r="I12" s="14">
        <f>473/40</f>
        <v>11.824999999999999</v>
      </c>
      <c r="K12" s="14">
        <f>11.83*2/46</f>
        <v>0.51434782608695651</v>
      </c>
    </row>
    <row r="13" spans="1:12" x14ac:dyDescent="0.35">
      <c r="A13" s="18" t="s">
        <v>325</v>
      </c>
      <c r="E13" s="19">
        <v>0.25</v>
      </c>
      <c r="F13" s="19">
        <v>0.1</v>
      </c>
      <c r="G13" s="19"/>
      <c r="H13" t="s">
        <v>195</v>
      </c>
    </row>
    <row r="14" spans="1:12" s="14" customFormat="1" x14ac:dyDescent="0.35">
      <c r="A14" s="21" t="s">
        <v>326</v>
      </c>
      <c r="B14" s="2"/>
      <c r="C14" s="2"/>
      <c r="D14" s="2"/>
      <c r="E14" s="2"/>
      <c r="F14" s="2"/>
      <c r="G14" s="2"/>
      <c r="H14" t="s">
        <v>327</v>
      </c>
    </row>
    <row r="15" spans="1:12" s="14" customFormat="1" x14ac:dyDescent="0.35">
      <c r="A15" s="18" t="s">
        <v>328</v>
      </c>
      <c r="B15" s="2"/>
      <c r="C15" s="2"/>
      <c r="D15" s="2"/>
      <c r="E15" s="2"/>
      <c r="F15" s="2">
        <v>9.8000000000000004E-2</v>
      </c>
      <c r="G15" s="2">
        <v>0.13</v>
      </c>
      <c r="H15" t="s">
        <v>315</v>
      </c>
    </row>
    <row r="16" spans="1:12" s="14" customFormat="1" x14ac:dyDescent="0.35">
      <c r="A16" s="18" t="s">
        <v>329</v>
      </c>
      <c r="B16" s="2">
        <v>0.12</v>
      </c>
      <c r="C16" s="2"/>
      <c r="D16" s="2"/>
      <c r="E16" s="2"/>
      <c r="F16" s="2"/>
      <c r="G16" s="2"/>
      <c r="H16" t="s">
        <v>195</v>
      </c>
      <c r="I16" s="14">
        <v>50</v>
      </c>
      <c r="J16" s="14">
        <f>100/12</f>
        <v>8.3333333333333339</v>
      </c>
    </row>
    <row r="17" spans="1:12" s="14" customFormat="1" x14ac:dyDescent="0.35">
      <c r="A17" s="18" t="s">
        <v>330</v>
      </c>
      <c r="B17" s="2">
        <v>0.05</v>
      </c>
      <c r="C17" s="2">
        <v>0.02</v>
      </c>
      <c r="D17" s="33"/>
      <c r="E17" s="2"/>
      <c r="F17" s="2"/>
      <c r="G17" s="2"/>
      <c r="H17" t="s">
        <v>315</v>
      </c>
    </row>
    <row r="18" spans="1:12" s="14" customFormat="1" x14ac:dyDescent="0.35">
      <c r="A18" s="18" t="s">
        <v>331</v>
      </c>
      <c r="B18" s="2">
        <v>0.09</v>
      </c>
      <c r="C18" s="2">
        <v>7.0000000000000007E-2</v>
      </c>
      <c r="D18" s="33"/>
      <c r="E18" s="2"/>
      <c r="F18" s="2"/>
      <c r="G18" s="2"/>
      <c r="H18"/>
      <c r="I18" s="14">
        <v>90</v>
      </c>
    </row>
    <row r="19" spans="1:12" s="14" customFormat="1" x14ac:dyDescent="0.35">
      <c r="A19" s="18" t="s">
        <v>332</v>
      </c>
      <c r="B19" s="2"/>
      <c r="C19" s="2"/>
      <c r="D19" s="2">
        <v>0.06</v>
      </c>
      <c r="E19" s="19"/>
      <c r="F19" s="19">
        <v>0.11</v>
      </c>
      <c r="G19" s="19">
        <v>0.22</v>
      </c>
      <c r="H19" t="s">
        <v>333</v>
      </c>
      <c r="I19" s="14">
        <v>89</v>
      </c>
    </row>
    <row r="20" spans="1:12" s="14" customFormat="1" x14ac:dyDescent="0.35">
      <c r="A20" s="18" t="s">
        <v>334</v>
      </c>
      <c r="B20" s="2"/>
      <c r="C20" s="2">
        <v>0.01</v>
      </c>
      <c r="D20" s="2">
        <v>7.0000000000000007E-2</v>
      </c>
      <c r="E20" s="19"/>
      <c r="F20" s="19"/>
      <c r="G20" s="19"/>
      <c r="H20" t="s">
        <v>333</v>
      </c>
      <c r="I20" s="14">
        <v>30</v>
      </c>
    </row>
    <row r="21" spans="1:12" s="14" customFormat="1" x14ac:dyDescent="0.35">
      <c r="A21" s="18" t="s">
        <v>335</v>
      </c>
      <c r="B21" s="2"/>
      <c r="C21" s="2"/>
      <c r="D21" s="2"/>
      <c r="E21" s="19">
        <v>0.23</v>
      </c>
      <c r="F21" s="19"/>
      <c r="G21" s="19"/>
      <c r="H21"/>
      <c r="I21" s="14">
        <v>20</v>
      </c>
    </row>
    <row r="22" spans="1:12" s="14" customFormat="1" x14ac:dyDescent="0.35">
      <c r="A22" s="18" t="s">
        <v>336</v>
      </c>
      <c r="B22" s="2">
        <v>0.08</v>
      </c>
      <c r="C22" s="2">
        <v>0.01</v>
      </c>
      <c r="D22" s="2">
        <v>0.02</v>
      </c>
      <c r="E22" s="2"/>
      <c r="F22" s="2"/>
      <c r="G22" s="2"/>
      <c r="H22" t="s">
        <v>313</v>
      </c>
      <c r="I22" s="14">
        <v>31.5</v>
      </c>
      <c r="J22" s="14">
        <f>63/8</f>
        <v>7.875</v>
      </c>
    </row>
    <row r="23" spans="1:12" s="14" customFormat="1" ht="24.7" x14ac:dyDescent="0.35">
      <c r="A23" s="18" t="s">
        <v>337</v>
      </c>
      <c r="B23" s="2">
        <v>0.03</v>
      </c>
      <c r="C23" s="2">
        <v>1.4999999999999999E-2</v>
      </c>
      <c r="D23" s="2">
        <v>1.4999999999999999E-2</v>
      </c>
      <c r="E23" s="2">
        <v>7.0000000000000007E-2</v>
      </c>
      <c r="F23" s="2">
        <v>0.01</v>
      </c>
      <c r="G23" s="2">
        <v>0.05</v>
      </c>
      <c r="H23" t="s">
        <v>318</v>
      </c>
      <c r="I23" s="14">
        <v>12</v>
      </c>
      <c r="J23" s="14">
        <f>24/3</f>
        <v>8</v>
      </c>
      <c r="K23" s="14">
        <f>24/2</f>
        <v>12</v>
      </c>
      <c r="L23" s="14">
        <f>24/2</f>
        <v>12</v>
      </c>
    </row>
    <row r="24" spans="1:12" s="14" customFormat="1" x14ac:dyDescent="0.35">
      <c r="A24" s="1" t="s">
        <v>338</v>
      </c>
      <c r="B24" s="2"/>
      <c r="C24" s="2"/>
      <c r="D24" s="2">
        <v>0.6</v>
      </c>
      <c r="E24" s="19"/>
      <c r="F24" s="19"/>
      <c r="G24" s="19"/>
      <c r="H24" t="s">
        <v>315</v>
      </c>
      <c r="I24" s="14">
        <f>0.3*50</f>
        <v>15</v>
      </c>
      <c r="J24" s="14" t="s">
        <v>339</v>
      </c>
    </row>
    <row r="25" spans="1:12" s="14" customFormat="1" x14ac:dyDescent="0.35">
      <c r="A25" s="1" t="s">
        <v>340</v>
      </c>
      <c r="B25" s="2"/>
      <c r="C25" s="2"/>
      <c r="D25" s="2"/>
      <c r="E25" s="2"/>
      <c r="F25" s="2"/>
      <c r="G25" s="2"/>
      <c r="H25" t="s">
        <v>315</v>
      </c>
    </row>
    <row r="26" spans="1:12" s="14" customFormat="1" x14ac:dyDescent="0.35">
      <c r="A26" s="18" t="s">
        <v>341</v>
      </c>
      <c r="B26" s="2"/>
      <c r="C26" s="2"/>
      <c r="D26" s="2">
        <v>0.5</v>
      </c>
      <c r="E26" s="19"/>
      <c r="F26" s="19"/>
      <c r="G26" s="19">
        <v>0.17</v>
      </c>
      <c r="H26" t="s">
        <v>315</v>
      </c>
      <c r="I26" s="14">
        <v>54</v>
      </c>
      <c r="L26" s="14">
        <f>108/50</f>
        <v>2.16</v>
      </c>
    </row>
    <row r="27" spans="1:12" s="14" customFormat="1" x14ac:dyDescent="0.35">
      <c r="A27" s="18" t="s">
        <v>342</v>
      </c>
      <c r="B27" s="2">
        <v>0.02</v>
      </c>
      <c r="C27" s="2">
        <v>0.03</v>
      </c>
      <c r="D27" s="2">
        <v>0.03</v>
      </c>
      <c r="E27" s="2"/>
      <c r="F27" s="2"/>
      <c r="G27" s="2"/>
      <c r="H27" t="s">
        <v>318</v>
      </c>
      <c r="I27" s="14">
        <v>15.5</v>
      </c>
      <c r="J27" s="14">
        <f>31/2</f>
        <v>15.5</v>
      </c>
    </row>
    <row r="28" spans="1:12" s="14" customFormat="1" x14ac:dyDescent="0.35">
      <c r="A28" s="18" t="s">
        <v>343</v>
      </c>
      <c r="B28" s="2">
        <v>0.1</v>
      </c>
      <c r="C28" s="2"/>
      <c r="D28" s="2"/>
      <c r="E28" s="2"/>
      <c r="F28" s="2"/>
      <c r="G28" s="2"/>
      <c r="H28" t="s">
        <v>318</v>
      </c>
      <c r="I28" s="14">
        <v>38</v>
      </c>
      <c r="J28" s="14">
        <f>76/10</f>
        <v>7.6</v>
      </c>
    </row>
    <row r="29" spans="1:12" s="14" customFormat="1" x14ac:dyDescent="0.35">
      <c r="A29" s="18" t="s">
        <v>344</v>
      </c>
      <c r="B29" s="2">
        <v>0.05</v>
      </c>
      <c r="C29" s="2">
        <v>0.03</v>
      </c>
      <c r="D29" s="2">
        <v>0.04</v>
      </c>
      <c r="E29" s="2"/>
      <c r="F29" s="2"/>
      <c r="G29" s="2"/>
      <c r="H29" t="s">
        <v>195</v>
      </c>
      <c r="I29" s="14">
        <v>22</v>
      </c>
      <c r="J29" s="14">
        <f>44/5</f>
        <v>8.8000000000000007</v>
      </c>
      <c r="K29" s="14">
        <f>44/3</f>
        <v>14.666666666666666</v>
      </c>
      <c r="L29" s="14">
        <f>44/4</f>
        <v>11</v>
      </c>
    </row>
    <row r="30" spans="1:12" x14ac:dyDescent="0.35">
      <c r="A30" s="18" t="s">
        <v>345</v>
      </c>
      <c r="C30" s="2" t="s">
        <v>346</v>
      </c>
      <c r="H30" t="s">
        <v>333</v>
      </c>
      <c r="I30" s="14">
        <v>24</v>
      </c>
    </row>
    <row r="31" spans="1:12" x14ac:dyDescent="0.35">
      <c r="A31" s="18" t="s">
        <v>347</v>
      </c>
      <c r="D31" s="2">
        <v>0.22</v>
      </c>
      <c r="E31" s="19"/>
      <c r="F31" s="19">
        <v>0.11</v>
      </c>
      <c r="G31" s="19">
        <v>0.22</v>
      </c>
      <c r="H31" t="s">
        <v>315</v>
      </c>
      <c r="I31" s="22">
        <v>16</v>
      </c>
      <c r="L31" s="14">
        <f>32/22</f>
        <v>1.4545454545454546</v>
      </c>
    </row>
    <row r="32" spans="1:12" x14ac:dyDescent="0.35">
      <c r="A32" s="18" t="s">
        <v>348</v>
      </c>
      <c r="B32" s="2">
        <v>7.0000000000000007E-2</v>
      </c>
      <c r="C32" s="2">
        <v>0.02</v>
      </c>
      <c r="D32" s="2">
        <v>0.01</v>
      </c>
      <c r="F32" s="2">
        <v>0.03</v>
      </c>
      <c r="H32" t="s">
        <v>349</v>
      </c>
      <c r="I32" s="14">
        <v>17</v>
      </c>
      <c r="J32" s="14">
        <f>34/7</f>
        <v>4.8571428571428568</v>
      </c>
    </row>
    <row r="33" spans="1:12" x14ac:dyDescent="0.35">
      <c r="A33" s="1" t="s">
        <v>350</v>
      </c>
      <c r="C33" s="2">
        <v>0.45</v>
      </c>
      <c r="H33" t="s">
        <v>315</v>
      </c>
      <c r="I33" s="14">
        <v>3.5</v>
      </c>
    </row>
    <row r="34" spans="1:12" ht="24.7" x14ac:dyDescent="0.35">
      <c r="A34" s="1" t="s">
        <v>351</v>
      </c>
      <c r="C34" s="2">
        <v>0.46</v>
      </c>
      <c r="H34" t="s">
        <v>315</v>
      </c>
      <c r="I34" s="14">
        <v>9.5</v>
      </c>
    </row>
    <row r="35" spans="1:12" x14ac:dyDescent="0.35">
      <c r="A35" s="1" t="s">
        <v>352</v>
      </c>
      <c r="B35" s="2">
        <v>0.46</v>
      </c>
      <c r="H35" t="s">
        <v>315</v>
      </c>
      <c r="I35" s="14">
        <v>20</v>
      </c>
      <c r="J35" s="14">
        <f>40/46</f>
        <v>0.86956521739130432</v>
      </c>
    </row>
    <row r="37" spans="1:12" x14ac:dyDescent="0.35">
      <c r="A37" s="16" t="s">
        <v>353</v>
      </c>
    </row>
    <row r="38" spans="1:12" x14ac:dyDescent="0.35">
      <c r="A38" s="18" t="s">
        <v>354</v>
      </c>
      <c r="B38" s="2">
        <v>0.04</v>
      </c>
      <c r="C38" s="2">
        <v>0.03</v>
      </c>
      <c r="D38" s="2">
        <v>0.03</v>
      </c>
      <c r="H38" t="s">
        <v>195</v>
      </c>
      <c r="I38" s="14">
        <v>22</v>
      </c>
      <c r="J38" s="14">
        <f>44/4</f>
        <v>11</v>
      </c>
      <c r="K38" s="14">
        <f>44/3</f>
        <v>14.666666666666666</v>
      </c>
      <c r="L38" s="14">
        <f>44/3</f>
        <v>14.666666666666666</v>
      </c>
    </row>
    <row r="39" spans="1:12" x14ac:dyDescent="0.35">
      <c r="A39" s="18" t="s">
        <v>355</v>
      </c>
      <c r="B39" s="2">
        <v>0.05</v>
      </c>
      <c r="C39" s="2">
        <v>0.05</v>
      </c>
      <c r="D39" s="2">
        <v>0.05</v>
      </c>
      <c r="H39" t="s">
        <v>195</v>
      </c>
      <c r="I39" s="14">
        <v>25</v>
      </c>
      <c r="J39" s="14">
        <f>50/5</f>
        <v>10</v>
      </c>
      <c r="K39" s="14">
        <f>50/5</f>
        <v>10</v>
      </c>
      <c r="L39" s="14">
        <f>50/5</f>
        <v>10</v>
      </c>
    </row>
    <row r="40" spans="1:12" s="3" customFormat="1" x14ac:dyDescent="0.35">
      <c r="A40" s="18" t="s">
        <v>356</v>
      </c>
      <c r="B40" s="20">
        <v>0.06</v>
      </c>
      <c r="C40" s="20"/>
      <c r="D40" s="20">
        <v>0.06</v>
      </c>
      <c r="E40" s="20"/>
      <c r="F40" s="20"/>
      <c r="G40" s="20"/>
      <c r="H40" s="3" t="s">
        <v>195</v>
      </c>
      <c r="I40" s="14">
        <v>28</v>
      </c>
      <c r="J40" s="21">
        <f>56/6</f>
        <v>9.3333333333333339</v>
      </c>
      <c r="K40" s="21"/>
      <c r="L40" s="21">
        <f>56/6</f>
        <v>9.3333333333333339</v>
      </c>
    </row>
    <row r="44" spans="1:12" s="14" customFormat="1" x14ac:dyDescent="0.35">
      <c r="A44" s="16" t="s">
        <v>357</v>
      </c>
      <c r="B44" s="2"/>
      <c r="C44" s="2"/>
      <c r="D44" s="2"/>
      <c r="E44" s="2"/>
      <c r="F44" s="2"/>
      <c r="G44" s="2"/>
    </row>
    <row r="45" spans="1:12" s="14" customFormat="1" x14ac:dyDescent="0.35">
      <c r="A45" s="14" t="s">
        <v>358</v>
      </c>
      <c r="B45" s="2">
        <v>0.01</v>
      </c>
      <c r="C45" s="2">
        <v>0.01</v>
      </c>
      <c r="D45" s="2">
        <v>0.01</v>
      </c>
      <c r="E45" s="2"/>
      <c r="F45" s="2"/>
      <c r="G45" s="2"/>
      <c r="H45" s="14" t="s">
        <v>195</v>
      </c>
    </row>
    <row r="46" spans="1:12" s="14" customFormat="1" x14ac:dyDescent="0.35">
      <c r="A46" s="27" t="s">
        <v>359</v>
      </c>
      <c r="B46" s="2"/>
      <c r="C46" s="2"/>
      <c r="D46" s="2"/>
      <c r="E46" s="2"/>
      <c r="F46" s="2"/>
      <c r="G46" s="2"/>
      <c r="H46" s="14" t="s">
        <v>195</v>
      </c>
    </row>
    <row r="47" spans="1:12" x14ac:dyDescent="0.35">
      <c r="A47" s="1" t="s">
        <v>360</v>
      </c>
      <c r="B47" s="33">
        <v>5.0000000000000001E-3</v>
      </c>
      <c r="C47" s="33">
        <v>2E-3</v>
      </c>
      <c r="D47" s="33">
        <v>5.0000000000000001E-3</v>
      </c>
      <c r="H47" s="14" t="s">
        <v>195</v>
      </c>
    </row>
    <row r="48" spans="1:12" x14ac:dyDescent="0.35">
      <c r="A48" s="1" t="s">
        <v>361</v>
      </c>
      <c r="B48" s="33">
        <v>5.0000000000000001E-3</v>
      </c>
      <c r="C48" s="33">
        <v>2E-3</v>
      </c>
      <c r="D48" s="33">
        <v>5.0000000000000001E-3</v>
      </c>
      <c r="H48" s="14" t="s">
        <v>195</v>
      </c>
    </row>
    <row r="49" spans="1:12" x14ac:dyDescent="0.35">
      <c r="A49" s="1" t="s">
        <v>362</v>
      </c>
      <c r="B49" s="33">
        <v>0.01</v>
      </c>
      <c r="C49" s="33">
        <v>5.0000000000000001E-3</v>
      </c>
      <c r="D49" s="33">
        <v>0.01</v>
      </c>
    </row>
    <row r="50" spans="1:12" x14ac:dyDescent="0.35">
      <c r="B50" s="33"/>
      <c r="C50" s="33"/>
      <c r="D50" s="33"/>
    </row>
    <row r="51" spans="1:12" x14ac:dyDescent="0.35">
      <c r="B51" s="33"/>
      <c r="C51" s="33"/>
      <c r="D51" s="33"/>
    </row>
    <row r="52" spans="1:12" x14ac:dyDescent="0.35">
      <c r="B52" s="33"/>
      <c r="C52" s="33"/>
      <c r="D52" s="33"/>
    </row>
    <row r="54" spans="1:12" ht="26.1" customHeight="1" x14ac:dyDescent="0.35">
      <c r="A54" s="397" t="s">
        <v>164</v>
      </c>
      <c r="B54" s="398"/>
      <c r="C54" s="398"/>
      <c r="D54" s="398"/>
      <c r="E54" s="398"/>
      <c r="F54" s="398"/>
      <c r="G54" s="398"/>
      <c r="H54" s="399"/>
    </row>
    <row r="55" spans="1:12" ht="33.950000000000003" customHeight="1" x14ac:dyDescent="0.35">
      <c r="A55" s="400" t="s">
        <v>363</v>
      </c>
      <c r="B55" s="387"/>
      <c r="C55" s="387"/>
      <c r="D55" s="387"/>
      <c r="E55" s="387"/>
      <c r="F55" s="387"/>
      <c r="G55" s="387"/>
      <c r="H55" s="387"/>
    </row>
    <row r="56" spans="1:12" s="2" customFormat="1" ht="24.7" x14ac:dyDescent="0.35">
      <c r="A56" s="1" t="s">
        <v>364</v>
      </c>
      <c r="H56"/>
      <c r="I56" s="14"/>
      <c r="J56" s="14"/>
      <c r="K56" s="14"/>
      <c r="L56" s="14"/>
    </row>
  </sheetData>
  <mergeCells count="2">
    <mergeCell ref="A54:H54"/>
    <mergeCell ref="A55:H55"/>
  </mergeCells>
  <phoneticPr fontId="6" type="noConversion"/>
  <pageMargins left="0.75" right="0.75" top="1" bottom="1" header="0.5" footer="0.5"/>
  <pageSetup orientation="landscape" horizontalDpi="4294967292" verticalDpi="4294967292" r:id="rId1"/>
  <headerFooter>
    <oddHeader>&amp;CNutrient Prices per pound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59999389629810485"/>
    <pageSetUpPr fitToPage="1"/>
  </sheetPr>
  <dimension ref="A1:G39"/>
  <sheetViews>
    <sheetView tabSelected="1" view="pageLayout" zoomScale="80" zoomScaleNormal="100" zoomScalePageLayoutView="80" workbookViewId="0">
      <selection activeCell="C6" sqref="C6"/>
    </sheetView>
  </sheetViews>
  <sheetFormatPr defaultColWidth="11" defaultRowHeight="12.35" x14ac:dyDescent="0.35"/>
  <cols>
    <col min="1" max="1" width="42.1015625" customWidth="1"/>
    <col min="2" max="2" width="20.89453125" customWidth="1"/>
  </cols>
  <sheetData>
    <row r="1" spans="1:2" ht="96.95" customHeight="1" x14ac:dyDescent="0.35">
      <c r="A1" s="340" t="s">
        <v>72</v>
      </c>
      <c r="B1" s="340"/>
    </row>
    <row r="2" spans="1:2" ht="17.7" x14ac:dyDescent="0.5">
      <c r="A2" s="44"/>
      <c r="B2" s="44"/>
    </row>
    <row r="3" spans="1:2" ht="17.7" x14ac:dyDescent="0.5">
      <c r="A3" s="45" t="s">
        <v>73</v>
      </c>
      <c r="B3" s="249">
        <f>'STEP 1--Field Information'!E6</f>
        <v>0</v>
      </c>
    </row>
    <row r="4" spans="1:2" ht="17.7" x14ac:dyDescent="0.5">
      <c r="A4" s="45" t="s">
        <v>74</v>
      </c>
      <c r="B4" s="250"/>
    </row>
    <row r="5" spans="1:2" ht="45.7" x14ac:dyDescent="0.5">
      <c r="A5" s="166" t="s">
        <v>75</v>
      </c>
      <c r="B5" s="250"/>
    </row>
    <row r="6" spans="1:2" ht="45.7" x14ac:dyDescent="0.5">
      <c r="A6" s="166" t="s">
        <v>76</v>
      </c>
      <c r="B6" s="250"/>
    </row>
    <row r="7" spans="1:2" ht="17.7" hidden="1" x14ac:dyDescent="0.5">
      <c r="A7" s="45" t="s">
        <v>77</v>
      </c>
      <c r="B7" s="251"/>
    </row>
    <row r="8" spans="1:2" ht="17.7" hidden="1" x14ac:dyDescent="0.5">
      <c r="A8" s="45" t="s">
        <v>78</v>
      </c>
      <c r="B8" s="251"/>
    </row>
    <row r="9" spans="1:2" ht="17.7" hidden="1" x14ac:dyDescent="0.5">
      <c r="A9" s="45" t="s">
        <v>79</v>
      </c>
      <c r="B9" s="251"/>
    </row>
    <row r="10" spans="1:2" ht="17.7" hidden="1" x14ac:dyDescent="0.5">
      <c r="A10" s="44"/>
      <c r="B10" s="113"/>
    </row>
    <row r="11" spans="1:2" ht="17.7" hidden="1" x14ac:dyDescent="0.5">
      <c r="A11" s="46" t="s">
        <v>80</v>
      </c>
      <c r="B11" s="113"/>
    </row>
    <row r="12" spans="1:2" ht="17.7" hidden="1" x14ac:dyDescent="0.5">
      <c r="A12" s="45" t="s">
        <v>81</v>
      </c>
      <c r="B12" s="251"/>
    </row>
    <row r="13" spans="1:2" ht="17.7" hidden="1" x14ac:dyDescent="0.5">
      <c r="A13" s="45" t="s">
        <v>82</v>
      </c>
      <c r="B13" s="251"/>
    </row>
    <row r="14" spans="1:2" ht="17.7" hidden="1" x14ac:dyDescent="0.5">
      <c r="A14" s="45" t="s">
        <v>83</v>
      </c>
      <c r="B14" s="251"/>
    </row>
    <row r="15" spans="1:2" ht="17.7" hidden="1" x14ac:dyDescent="0.5">
      <c r="A15" s="45" t="s">
        <v>84</v>
      </c>
      <c r="B15" s="251"/>
    </row>
    <row r="16" spans="1:2" ht="17.7" hidden="1" x14ac:dyDescent="0.5">
      <c r="A16" s="45" t="s">
        <v>85</v>
      </c>
      <c r="B16" s="251"/>
    </row>
    <row r="17" spans="1:3" ht="17.7" hidden="1" x14ac:dyDescent="0.5">
      <c r="A17" s="45" t="s">
        <v>86</v>
      </c>
      <c r="B17" s="251"/>
    </row>
    <row r="18" spans="1:3" ht="17.7" hidden="1" x14ac:dyDescent="0.5">
      <c r="A18" s="45" t="s">
        <v>87</v>
      </c>
      <c r="B18" s="251"/>
    </row>
    <row r="19" spans="1:3" ht="17.7" hidden="1" x14ac:dyDescent="0.5">
      <c r="A19" s="44"/>
      <c r="B19" s="45"/>
    </row>
    <row r="20" spans="1:3" ht="17.7" x14ac:dyDescent="0.5">
      <c r="A20" s="45" t="s">
        <v>88</v>
      </c>
      <c r="B20" s="252"/>
      <c r="C20" s="167" t="s">
        <v>89</v>
      </c>
    </row>
    <row r="21" spans="1:3" ht="43.35" x14ac:dyDescent="0.5">
      <c r="A21" s="166" t="s">
        <v>90</v>
      </c>
      <c r="B21" s="253">
        <v>0</v>
      </c>
      <c r="C21" s="167" t="s">
        <v>91</v>
      </c>
    </row>
    <row r="22" spans="1:3" ht="17.7" hidden="1" x14ac:dyDescent="0.5">
      <c r="A22" s="45" t="s">
        <v>92</v>
      </c>
      <c r="B22" s="254"/>
    </row>
    <row r="23" spans="1:3" ht="17.7" hidden="1" x14ac:dyDescent="0.5">
      <c r="A23" s="45" t="s">
        <v>93</v>
      </c>
      <c r="B23" s="254"/>
    </row>
    <row r="24" spans="1:3" ht="17.7" hidden="1" x14ac:dyDescent="0.5">
      <c r="A24" s="45" t="s">
        <v>94</v>
      </c>
      <c r="B24" s="254"/>
    </row>
    <row r="26" spans="1:3" x14ac:dyDescent="0.35">
      <c r="A26" s="341"/>
      <c r="B26" s="342"/>
    </row>
    <row r="27" spans="1:3" ht="24.95" customHeight="1" x14ac:dyDescent="0.35">
      <c r="A27" s="342"/>
      <c r="B27" s="342"/>
    </row>
    <row r="30" spans="1:3" hidden="1" x14ac:dyDescent="0.35"/>
    <row r="31" spans="1:3" hidden="1" x14ac:dyDescent="0.35">
      <c r="A31" s="182" t="s">
        <v>95</v>
      </c>
      <c r="B31" s="182" t="s">
        <v>96</v>
      </c>
    </row>
    <row r="32" spans="1:3" hidden="1" x14ac:dyDescent="0.35">
      <c r="A32" s="182" t="s">
        <v>97</v>
      </c>
      <c r="B32" s="182" t="s">
        <v>98</v>
      </c>
    </row>
    <row r="33" spans="1:7" ht="14.35" hidden="1" x14ac:dyDescent="0.35">
      <c r="A33" s="182" t="s">
        <v>99</v>
      </c>
      <c r="B33" s="182" t="s">
        <v>100</v>
      </c>
      <c r="C33" s="187"/>
      <c r="D33" s="187"/>
      <c r="E33" s="187"/>
      <c r="F33" s="187"/>
      <c r="G33" s="187"/>
    </row>
    <row r="34" spans="1:7" hidden="1" x14ac:dyDescent="0.35">
      <c r="A34" s="182" t="s">
        <v>101</v>
      </c>
      <c r="B34" s="182" t="s">
        <v>102</v>
      </c>
    </row>
    <row r="35" spans="1:7" hidden="1" x14ac:dyDescent="0.35">
      <c r="A35" s="182" t="s">
        <v>103</v>
      </c>
      <c r="B35" s="182" t="s">
        <v>104</v>
      </c>
    </row>
    <row r="36" spans="1:7" hidden="1" x14ac:dyDescent="0.35">
      <c r="A36" s="182" t="s">
        <v>105</v>
      </c>
      <c r="B36" s="182" t="s">
        <v>106</v>
      </c>
    </row>
    <row r="37" spans="1:7" hidden="1" x14ac:dyDescent="0.35">
      <c r="A37" s="182" t="s">
        <v>107</v>
      </c>
      <c r="B37" s="182" t="s">
        <v>108</v>
      </c>
    </row>
    <row r="38" spans="1:7" ht="14.35" hidden="1" x14ac:dyDescent="0.35">
      <c r="A38" s="61" t="s">
        <v>109</v>
      </c>
      <c r="B38" s="187" t="s">
        <v>110</v>
      </c>
    </row>
    <row r="39" spans="1:7" ht="14.35" x14ac:dyDescent="0.35">
      <c r="A39" s="187"/>
    </row>
  </sheetData>
  <mergeCells count="2">
    <mergeCell ref="A1:B1"/>
    <mergeCell ref="A26:B27"/>
  </mergeCells>
  <phoneticPr fontId="6" type="noConversion"/>
  <dataValidations xWindow="481" yWindow="424" count="2">
    <dataValidation type="list" allowBlank="1" showInputMessage="1" showErrorMessage="1" promptTitle="Select " prompt="from list" sqref="B5" xr:uid="{00000000-0002-0000-0100-000000000000}">
      <formula1>$A$31:$A$39</formula1>
    </dataValidation>
    <dataValidation type="list" allowBlank="1" showInputMessage="1" showErrorMessage="1" promptTitle="Select " prompt="From list" sqref="B6" xr:uid="{00000000-0002-0000-0100-000001000000}">
      <formula1>$B$31:$B$38</formula1>
    </dataValidation>
  </dataValidations>
  <pageMargins left="0.75" right="0.75" top="1" bottom="1" header="0.5" footer="0.5"/>
  <pageSetup orientation="landscape" horizontalDpi="4294967292" verticalDpi="4294967292" r:id="rId1"/>
  <headerFooter>
    <oddHeader>&amp;L&amp;"Verdana,Bold"&amp;14Enter soil test information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08"/>
  <sheetViews>
    <sheetView view="pageLayout" topLeftCell="A12" workbookViewId="0">
      <selection activeCell="A82" sqref="A82"/>
    </sheetView>
  </sheetViews>
  <sheetFormatPr defaultColWidth="11" defaultRowHeight="12.35" x14ac:dyDescent="0.35"/>
  <cols>
    <col min="1" max="1" width="28.26171875" bestFit="1" customWidth="1"/>
  </cols>
  <sheetData>
    <row r="1" spans="1:10" ht="14.35" x14ac:dyDescent="0.35">
      <c r="A1" s="187" t="s">
        <v>111</v>
      </c>
      <c r="B1" s="182" t="s">
        <v>95</v>
      </c>
      <c r="C1" s="182" t="s">
        <v>97</v>
      </c>
      <c r="D1" s="182" t="s">
        <v>99</v>
      </c>
      <c r="E1" s="182" t="s">
        <v>101</v>
      </c>
      <c r="F1" s="182" t="s">
        <v>103</v>
      </c>
      <c r="G1" s="182" t="s">
        <v>105</v>
      </c>
      <c r="H1" s="182" t="s">
        <v>107</v>
      </c>
      <c r="I1" s="61" t="s">
        <v>109</v>
      </c>
      <c r="J1" s="187"/>
    </row>
    <row r="2" spans="1:10" x14ac:dyDescent="0.35">
      <c r="A2" s="177" t="s">
        <v>60</v>
      </c>
      <c r="B2" s="177">
        <v>60</v>
      </c>
      <c r="C2" s="177">
        <v>40</v>
      </c>
      <c r="D2" s="177">
        <v>20</v>
      </c>
      <c r="E2" s="177">
        <v>20</v>
      </c>
      <c r="F2" s="177">
        <v>0</v>
      </c>
      <c r="G2" s="177">
        <v>0</v>
      </c>
      <c r="H2" s="177">
        <v>0</v>
      </c>
      <c r="I2">
        <v>0</v>
      </c>
      <c r="J2">
        <v>0</v>
      </c>
    </row>
    <row r="3" spans="1:10" x14ac:dyDescent="0.35">
      <c r="A3" s="177" t="s">
        <v>61</v>
      </c>
      <c r="B3" s="177">
        <v>50</v>
      </c>
      <c r="C3" s="177">
        <v>30</v>
      </c>
      <c r="D3" s="177">
        <v>20</v>
      </c>
      <c r="E3" s="177">
        <v>0</v>
      </c>
      <c r="F3" s="177">
        <v>0</v>
      </c>
      <c r="G3" s="177">
        <v>0</v>
      </c>
      <c r="H3" s="177">
        <v>0</v>
      </c>
      <c r="I3">
        <v>0</v>
      </c>
      <c r="J3">
        <v>0</v>
      </c>
    </row>
    <row r="4" spans="1:10" x14ac:dyDescent="0.35">
      <c r="A4" s="177" t="s">
        <v>62</v>
      </c>
      <c r="B4" s="177"/>
      <c r="C4" s="177"/>
      <c r="D4" s="177"/>
      <c r="E4" s="177"/>
      <c r="F4" s="177"/>
      <c r="G4" s="177"/>
      <c r="H4" s="177"/>
    </row>
    <row r="5" spans="1:10" x14ac:dyDescent="0.35">
      <c r="A5" s="177" t="s">
        <v>63</v>
      </c>
      <c r="B5" s="177"/>
      <c r="C5" s="177"/>
      <c r="D5" s="177"/>
      <c r="E5" s="177"/>
      <c r="F5" s="177"/>
      <c r="G5" s="177"/>
      <c r="H5" s="177"/>
    </row>
    <row r="6" spans="1:10" x14ac:dyDescent="0.35">
      <c r="A6" s="177" t="s">
        <v>64</v>
      </c>
      <c r="B6" s="177">
        <v>120</v>
      </c>
      <c r="C6" s="177">
        <v>100</v>
      </c>
      <c r="D6" s="177">
        <v>80</v>
      </c>
      <c r="E6" s="177">
        <v>60</v>
      </c>
      <c r="F6" s="177">
        <v>30</v>
      </c>
      <c r="G6" s="177">
        <v>0</v>
      </c>
      <c r="H6" s="177">
        <v>0</v>
      </c>
      <c r="I6">
        <v>0</v>
      </c>
      <c r="J6">
        <v>0</v>
      </c>
    </row>
    <row r="7" spans="1:10" x14ac:dyDescent="0.35">
      <c r="A7" s="177" t="s">
        <v>65</v>
      </c>
      <c r="B7" s="177">
        <v>100</v>
      </c>
      <c r="C7" s="177">
        <v>80</v>
      </c>
      <c r="D7" s="177">
        <v>60</v>
      </c>
      <c r="E7" s="177">
        <v>40</v>
      </c>
      <c r="F7" s="177">
        <v>20</v>
      </c>
      <c r="G7" s="177">
        <v>0</v>
      </c>
      <c r="H7" s="177">
        <v>0</v>
      </c>
      <c r="I7">
        <v>0</v>
      </c>
      <c r="J7">
        <v>0</v>
      </c>
    </row>
    <row r="8" spans="1:10" x14ac:dyDescent="0.35">
      <c r="A8" s="177" t="s">
        <v>66</v>
      </c>
      <c r="B8" s="177">
        <v>150</v>
      </c>
      <c r="C8" s="177">
        <v>120</v>
      </c>
      <c r="D8" s="177">
        <v>90</v>
      </c>
      <c r="E8" s="177">
        <v>40</v>
      </c>
      <c r="F8" s="177">
        <v>20</v>
      </c>
      <c r="G8" s="177">
        <v>0</v>
      </c>
      <c r="H8" s="177">
        <v>0</v>
      </c>
      <c r="I8">
        <v>0</v>
      </c>
      <c r="J8">
        <v>0</v>
      </c>
    </row>
    <row r="9" spans="1:10" x14ac:dyDescent="0.35">
      <c r="A9" s="177" t="s">
        <v>67</v>
      </c>
      <c r="B9" s="177">
        <v>120</v>
      </c>
      <c r="C9" s="177">
        <v>90</v>
      </c>
      <c r="D9" s="177">
        <v>60</v>
      </c>
      <c r="E9" s="177">
        <v>20</v>
      </c>
      <c r="F9" s="177">
        <v>20</v>
      </c>
      <c r="G9" s="177">
        <v>0</v>
      </c>
      <c r="H9" s="177">
        <v>0</v>
      </c>
      <c r="I9">
        <v>0</v>
      </c>
      <c r="J9">
        <v>0</v>
      </c>
    </row>
    <row r="10" spans="1:10" x14ac:dyDescent="0.35">
      <c r="A10" s="177" t="s">
        <v>68</v>
      </c>
      <c r="B10" s="177">
        <v>125</v>
      </c>
      <c r="C10" s="177">
        <v>100</v>
      </c>
      <c r="D10" s="177">
        <v>75</v>
      </c>
      <c r="E10" s="177">
        <v>50</v>
      </c>
      <c r="F10" s="177">
        <v>25</v>
      </c>
      <c r="G10" s="177">
        <v>0</v>
      </c>
      <c r="H10" s="177">
        <v>0</v>
      </c>
      <c r="I10">
        <v>0</v>
      </c>
      <c r="J10">
        <v>0</v>
      </c>
    </row>
    <row r="11" spans="1:10" x14ac:dyDescent="0.35">
      <c r="A11" s="177" t="s">
        <v>69</v>
      </c>
      <c r="B11" s="177">
        <v>100</v>
      </c>
      <c r="C11" s="177">
        <v>75</v>
      </c>
      <c r="D11" s="177">
        <v>50</v>
      </c>
      <c r="E11" s="177">
        <v>25</v>
      </c>
      <c r="F11" s="177">
        <v>25</v>
      </c>
      <c r="G11" s="177">
        <v>0</v>
      </c>
      <c r="H11" s="177">
        <v>0</v>
      </c>
      <c r="I11">
        <v>0</v>
      </c>
      <c r="J11">
        <v>0</v>
      </c>
    </row>
    <row r="12" spans="1:10" x14ac:dyDescent="0.35">
      <c r="A12" s="188" t="s">
        <v>112</v>
      </c>
      <c r="B12" s="189">
        <v>0.5</v>
      </c>
      <c r="C12" s="189">
        <v>0.25</v>
      </c>
      <c r="D12" s="189">
        <v>0.25</v>
      </c>
      <c r="E12" s="189">
        <v>0.2</v>
      </c>
      <c r="F12" s="189">
        <v>0.1</v>
      </c>
      <c r="G12" s="189">
        <v>0.1</v>
      </c>
      <c r="H12" s="189">
        <v>0</v>
      </c>
      <c r="I12">
        <v>0</v>
      </c>
      <c r="J12">
        <v>0</v>
      </c>
    </row>
    <row r="13" spans="1:10" x14ac:dyDescent="0.35">
      <c r="A13" s="189" t="s">
        <v>113</v>
      </c>
      <c r="B13" s="189">
        <v>0.25</v>
      </c>
      <c r="C13" s="189">
        <v>0.2</v>
      </c>
      <c r="D13" s="189">
        <v>0.1</v>
      </c>
      <c r="E13" s="189">
        <v>0.1</v>
      </c>
      <c r="F13" s="189">
        <v>0</v>
      </c>
      <c r="G13" s="189">
        <v>0</v>
      </c>
      <c r="H13" s="189">
        <v>0</v>
      </c>
      <c r="I13">
        <v>0</v>
      </c>
      <c r="J13">
        <v>0</v>
      </c>
    </row>
    <row r="14" spans="1:10" x14ac:dyDescent="0.35">
      <c r="A14" s="189" t="s">
        <v>114</v>
      </c>
      <c r="B14" s="189">
        <v>0.2</v>
      </c>
      <c r="C14" s="189">
        <v>0.1</v>
      </c>
      <c r="D14" s="189">
        <v>0.1</v>
      </c>
      <c r="E14" s="189">
        <v>0</v>
      </c>
      <c r="F14" s="189">
        <v>0</v>
      </c>
      <c r="G14" s="189">
        <v>0</v>
      </c>
      <c r="H14" s="189">
        <v>0</v>
      </c>
      <c r="I14">
        <v>0</v>
      </c>
      <c r="J14">
        <v>0</v>
      </c>
    </row>
    <row r="15" spans="1:10" x14ac:dyDescent="0.35">
      <c r="A15" s="189" t="s">
        <v>115</v>
      </c>
      <c r="B15" s="189">
        <v>0.5</v>
      </c>
      <c r="C15" s="189">
        <v>0.3</v>
      </c>
      <c r="D15" s="189">
        <v>0.25</v>
      </c>
      <c r="E15" s="189">
        <v>0.2</v>
      </c>
      <c r="F15" s="189">
        <v>0.1</v>
      </c>
      <c r="G15" s="189">
        <v>0</v>
      </c>
      <c r="H15" s="189">
        <v>0</v>
      </c>
      <c r="I15">
        <v>0</v>
      </c>
      <c r="J15">
        <v>0</v>
      </c>
    </row>
    <row r="16" spans="1:10" x14ac:dyDescent="0.35">
      <c r="A16" s="189" t="s">
        <v>116</v>
      </c>
      <c r="B16" s="189">
        <v>0.3</v>
      </c>
      <c r="C16" s="189">
        <v>0.25</v>
      </c>
      <c r="D16" s="189">
        <v>0.15</v>
      </c>
      <c r="E16" s="189">
        <v>0.1</v>
      </c>
      <c r="F16" s="189">
        <v>0.1</v>
      </c>
      <c r="G16" s="189">
        <v>0</v>
      </c>
      <c r="H16" s="189">
        <v>0</v>
      </c>
      <c r="I16">
        <v>0</v>
      </c>
      <c r="J16">
        <v>0</v>
      </c>
    </row>
    <row r="17" spans="1:10" x14ac:dyDescent="0.35">
      <c r="A17" s="189" t="s">
        <v>117</v>
      </c>
      <c r="B17" s="189">
        <v>0.5</v>
      </c>
      <c r="C17" s="189">
        <v>0.3</v>
      </c>
      <c r="D17" s="189">
        <v>0.25</v>
      </c>
      <c r="E17" s="189">
        <v>0.2</v>
      </c>
      <c r="F17" s="189">
        <v>0.1</v>
      </c>
      <c r="G17" s="189">
        <v>0</v>
      </c>
      <c r="H17" s="189">
        <v>0</v>
      </c>
      <c r="I17">
        <v>0</v>
      </c>
      <c r="J17">
        <v>0</v>
      </c>
    </row>
    <row r="18" spans="1:10" x14ac:dyDescent="0.35">
      <c r="A18" s="189" t="s">
        <v>118</v>
      </c>
      <c r="B18" s="189">
        <v>0.3</v>
      </c>
      <c r="C18" s="189">
        <v>0.25</v>
      </c>
      <c r="D18" s="189">
        <v>0.15</v>
      </c>
      <c r="E18" s="189">
        <v>0.1</v>
      </c>
      <c r="F18" s="189">
        <v>0.1</v>
      </c>
      <c r="G18" s="189">
        <v>0</v>
      </c>
      <c r="H18" s="189">
        <v>0</v>
      </c>
      <c r="I18">
        <v>0</v>
      </c>
      <c r="J18">
        <v>0</v>
      </c>
    </row>
    <row r="19" spans="1:10" ht="14.35" x14ac:dyDescent="0.5">
      <c r="A19" s="176" t="s">
        <v>14</v>
      </c>
      <c r="B19" s="176">
        <v>200</v>
      </c>
      <c r="C19" s="176">
        <v>100</v>
      </c>
      <c r="D19" s="176">
        <v>100</v>
      </c>
      <c r="E19" s="176">
        <v>80</v>
      </c>
      <c r="F19" s="176">
        <v>40</v>
      </c>
      <c r="G19" s="190">
        <v>30</v>
      </c>
      <c r="H19" s="176">
        <v>0</v>
      </c>
      <c r="I19" s="47">
        <v>0</v>
      </c>
      <c r="J19" s="47">
        <v>0</v>
      </c>
    </row>
    <row r="20" spans="1:10" x14ac:dyDescent="0.35">
      <c r="A20" s="177" t="s">
        <v>70</v>
      </c>
      <c r="B20" s="177">
        <v>180</v>
      </c>
      <c r="C20" s="177">
        <v>150</v>
      </c>
      <c r="D20" s="177">
        <v>120</v>
      </c>
      <c r="E20" s="177">
        <v>60</v>
      </c>
      <c r="F20" s="177">
        <v>30</v>
      </c>
      <c r="G20" s="177">
        <v>30</v>
      </c>
      <c r="H20" s="177">
        <v>0</v>
      </c>
      <c r="I20">
        <v>0</v>
      </c>
      <c r="J20">
        <v>0</v>
      </c>
    </row>
    <row r="21" spans="1:10" x14ac:dyDescent="0.35">
      <c r="A21" s="177" t="s">
        <v>71</v>
      </c>
      <c r="B21" s="177">
        <v>150</v>
      </c>
      <c r="C21" s="177">
        <v>120</v>
      </c>
      <c r="D21" s="177">
        <v>90</v>
      </c>
      <c r="E21" s="177">
        <v>60</v>
      </c>
      <c r="F21" s="177">
        <v>30</v>
      </c>
      <c r="G21" s="177">
        <v>30</v>
      </c>
      <c r="H21" s="177">
        <v>0</v>
      </c>
      <c r="I21">
        <v>0</v>
      </c>
      <c r="J21">
        <v>0</v>
      </c>
    </row>
    <row r="22" spans="1:10" x14ac:dyDescent="0.35">
      <c r="A22" s="177" t="s">
        <v>15</v>
      </c>
      <c r="B22" s="177">
        <v>120</v>
      </c>
      <c r="C22" s="177">
        <v>90</v>
      </c>
      <c r="D22" s="177">
        <v>60</v>
      </c>
      <c r="E22" s="177">
        <v>45</v>
      </c>
      <c r="F22" s="177">
        <v>30</v>
      </c>
      <c r="G22" s="177">
        <v>30</v>
      </c>
      <c r="H22" s="177">
        <v>0</v>
      </c>
      <c r="I22">
        <v>0</v>
      </c>
      <c r="J22">
        <v>0</v>
      </c>
    </row>
    <row r="23" spans="1:10" x14ac:dyDescent="0.35">
      <c r="A23" s="177" t="s">
        <v>17</v>
      </c>
      <c r="B23" s="177">
        <v>100</v>
      </c>
      <c r="C23" s="177">
        <v>75</v>
      </c>
      <c r="D23" s="177">
        <v>75</v>
      </c>
      <c r="E23" s="177">
        <v>50</v>
      </c>
      <c r="F23" s="177">
        <v>25</v>
      </c>
      <c r="G23" s="177">
        <v>0</v>
      </c>
      <c r="H23" s="177">
        <v>0</v>
      </c>
      <c r="I23">
        <v>0</v>
      </c>
      <c r="J23">
        <v>0</v>
      </c>
    </row>
    <row r="24" spans="1:10" x14ac:dyDescent="0.35">
      <c r="A24" s="177" t="s">
        <v>19</v>
      </c>
      <c r="B24" s="177">
        <v>150</v>
      </c>
      <c r="C24" s="177">
        <v>125</v>
      </c>
      <c r="D24" s="177">
        <v>100</v>
      </c>
      <c r="E24" s="177">
        <v>50</v>
      </c>
      <c r="F24" s="177">
        <v>50</v>
      </c>
      <c r="G24" s="177">
        <v>25</v>
      </c>
      <c r="H24" s="177">
        <v>0</v>
      </c>
      <c r="I24">
        <v>0</v>
      </c>
      <c r="J24">
        <v>0</v>
      </c>
    </row>
    <row r="25" spans="1:10" x14ac:dyDescent="0.35">
      <c r="A25" s="191" t="s">
        <v>21</v>
      </c>
      <c r="B25" s="177">
        <v>150</v>
      </c>
      <c r="C25" s="177">
        <v>125</v>
      </c>
      <c r="D25" s="177">
        <v>100</v>
      </c>
      <c r="E25" s="177">
        <v>50</v>
      </c>
      <c r="F25" s="177">
        <v>50</v>
      </c>
      <c r="G25" s="177">
        <v>25</v>
      </c>
      <c r="H25" s="177">
        <v>0</v>
      </c>
      <c r="I25">
        <v>0</v>
      </c>
      <c r="J25">
        <v>0</v>
      </c>
    </row>
    <row r="26" spans="1:10" x14ac:dyDescent="0.35">
      <c r="A26" s="177" t="s">
        <v>23</v>
      </c>
      <c r="B26" s="177">
        <v>150</v>
      </c>
      <c r="C26" s="177">
        <v>125</v>
      </c>
      <c r="D26" s="177">
        <v>100</v>
      </c>
      <c r="E26" s="177">
        <v>50</v>
      </c>
      <c r="F26" s="177">
        <v>50</v>
      </c>
      <c r="G26" s="177">
        <v>25</v>
      </c>
      <c r="H26" s="177">
        <v>0</v>
      </c>
      <c r="I26">
        <v>0</v>
      </c>
      <c r="J26">
        <v>0</v>
      </c>
    </row>
    <row r="27" spans="1:10" x14ac:dyDescent="0.35">
      <c r="A27" s="179" t="s">
        <v>25</v>
      </c>
      <c r="B27" s="177">
        <v>180</v>
      </c>
      <c r="C27" s="177">
        <v>150</v>
      </c>
      <c r="D27" s="177">
        <v>120</v>
      </c>
      <c r="E27" s="177">
        <v>60</v>
      </c>
      <c r="F27" s="177">
        <v>30</v>
      </c>
      <c r="G27" s="177">
        <v>30</v>
      </c>
      <c r="H27" s="177">
        <v>0</v>
      </c>
      <c r="I27">
        <v>0</v>
      </c>
      <c r="J27">
        <v>0</v>
      </c>
    </row>
    <row r="28" spans="1:10" x14ac:dyDescent="0.35">
      <c r="A28" s="177" t="s">
        <v>27</v>
      </c>
      <c r="B28" s="177">
        <v>150</v>
      </c>
      <c r="C28" s="177">
        <v>125</v>
      </c>
      <c r="D28" s="177">
        <v>100</v>
      </c>
      <c r="E28" s="177">
        <v>50</v>
      </c>
      <c r="F28" s="177">
        <v>50</v>
      </c>
      <c r="G28" s="177">
        <v>25</v>
      </c>
      <c r="H28" s="177">
        <v>0</v>
      </c>
      <c r="I28">
        <v>0</v>
      </c>
      <c r="J28">
        <v>0</v>
      </c>
    </row>
    <row r="29" spans="1:10" x14ac:dyDescent="0.35">
      <c r="A29" s="177" t="s">
        <v>29</v>
      </c>
      <c r="B29" s="177">
        <v>150</v>
      </c>
      <c r="C29" s="177">
        <v>125</v>
      </c>
      <c r="D29" s="177">
        <v>100</v>
      </c>
      <c r="E29" s="177">
        <v>50</v>
      </c>
      <c r="F29" s="177">
        <v>50</v>
      </c>
      <c r="G29" s="177">
        <v>25</v>
      </c>
      <c r="H29" s="177">
        <v>0</v>
      </c>
      <c r="I29">
        <v>0</v>
      </c>
      <c r="J29">
        <v>0</v>
      </c>
    </row>
    <row r="30" spans="1:10" x14ac:dyDescent="0.35">
      <c r="A30" s="177" t="s">
        <v>31</v>
      </c>
      <c r="B30" s="177">
        <v>150</v>
      </c>
      <c r="C30" s="177">
        <v>125</v>
      </c>
      <c r="D30" s="177">
        <v>100</v>
      </c>
      <c r="E30" s="177">
        <v>50</v>
      </c>
      <c r="F30" s="177">
        <v>50</v>
      </c>
      <c r="G30" s="177">
        <v>25</v>
      </c>
      <c r="H30" s="177">
        <v>0</v>
      </c>
      <c r="I30">
        <v>0</v>
      </c>
      <c r="J30">
        <v>0</v>
      </c>
    </row>
    <row r="31" spans="1:10" x14ac:dyDescent="0.35">
      <c r="A31" s="177" t="s">
        <v>33</v>
      </c>
      <c r="B31" s="177">
        <v>150</v>
      </c>
      <c r="C31" s="177">
        <v>125</v>
      </c>
      <c r="D31" s="177">
        <v>100</v>
      </c>
      <c r="E31" s="177">
        <v>50</v>
      </c>
      <c r="F31" s="177">
        <v>50</v>
      </c>
      <c r="G31" s="177">
        <v>25</v>
      </c>
      <c r="H31" s="177">
        <v>0</v>
      </c>
      <c r="I31">
        <v>0</v>
      </c>
      <c r="J31">
        <v>0</v>
      </c>
    </row>
    <row r="32" spans="1:10" x14ac:dyDescent="0.35">
      <c r="A32" s="177" t="s">
        <v>35</v>
      </c>
      <c r="B32" s="177">
        <v>180</v>
      </c>
      <c r="C32" s="177">
        <v>150</v>
      </c>
      <c r="D32" s="177">
        <v>120</v>
      </c>
      <c r="E32" s="177">
        <v>60</v>
      </c>
      <c r="F32" s="177">
        <v>30</v>
      </c>
      <c r="G32" s="177">
        <v>30</v>
      </c>
      <c r="H32" s="177">
        <v>0</v>
      </c>
      <c r="I32">
        <v>0</v>
      </c>
      <c r="J32">
        <v>0</v>
      </c>
    </row>
    <row r="33" spans="1:11" x14ac:dyDescent="0.35">
      <c r="A33" s="179" t="s">
        <v>37</v>
      </c>
      <c r="B33" s="177">
        <v>180</v>
      </c>
      <c r="C33" s="177">
        <v>150</v>
      </c>
      <c r="D33" s="177">
        <v>120</v>
      </c>
      <c r="E33" s="177">
        <v>60</v>
      </c>
      <c r="F33" s="177">
        <v>30</v>
      </c>
      <c r="G33" s="177">
        <v>30</v>
      </c>
      <c r="H33" s="177">
        <v>0</v>
      </c>
      <c r="I33">
        <v>0</v>
      </c>
      <c r="J33">
        <v>0</v>
      </c>
    </row>
    <row r="34" spans="1:11" x14ac:dyDescent="0.35">
      <c r="A34" s="177" t="s">
        <v>39</v>
      </c>
      <c r="B34" s="177">
        <v>150</v>
      </c>
      <c r="C34" s="177">
        <v>125</v>
      </c>
      <c r="D34" s="177">
        <v>100</v>
      </c>
      <c r="E34" s="177">
        <v>50</v>
      </c>
      <c r="F34" s="177">
        <v>50</v>
      </c>
      <c r="G34" s="177">
        <v>25</v>
      </c>
      <c r="H34" s="177">
        <v>0</v>
      </c>
      <c r="I34">
        <v>0</v>
      </c>
      <c r="J34">
        <v>0</v>
      </c>
    </row>
    <row r="35" spans="1:11" x14ac:dyDescent="0.35">
      <c r="A35" s="177" t="s">
        <v>41</v>
      </c>
      <c r="B35" s="177">
        <v>150</v>
      </c>
      <c r="C35" s="177">
        <v>125</v>
      </c>
      <c r="D35" s="177">
        <v>100</v>
      </c>
      <c r="E35" s="177">
        <v>50</v>
      </c>
      <c r="F35" s="177">
        <v>25</v>
      </c>
      <c r="G35" s="177">
        <v>25</v>
      </c>
      <c r="H35" s="177">
        <v>0</v>
      </c>
      <c r="I35">
        <v>0</v>
      </c>
      <c r="J35">
        <v>0</v>
      </c>
    </row>
    <row r="36" spans="1:11" x14ac:dyDescent="0.35">
      <c r="A36" s="177" t="s">
        <v>119</v>
      </c>
      <c r="B36" s="177">
        <v>150</v>
      </c>
      <c r="C36" s="177">
        <v>125</v>
      </c>
      <c r="D36" s="177">
        <v>100</v>
      </c>
      <c r="E36" s="177">
        <v>50</v>
      </c>
      <c r="F36" s="177">
        <v>25</v>
      </c>
      <c r="G36" s="177">
        <v>25</v>
      </c>
      <c r="H36" s="177">
        <v>0</v>
      </c>
      <c r="I36">
        <v>0</v>
      </c>
      <c r="J36">
        <v>0</v>
      </c>
    </row>
    <row r="37" spans="1:11" x14ac:dyDescent="0.35">
      <c r="A37" s="177" t="s">
        <v>43</v>
      </c>
      <c r="B37" s="177">
        <v>140</v>
      </c>
      <c r="C37" s="177">
        <v>110</v>
      </c>
      <c r="D37" s="177">
        <v>80</v>
      </c>
      <c r="E37" s="177">
        <v>40</v>
      </c>
      <c r="F37" s="177">
        <v>30</v>
      </c>
      <c r="G37" s="177">
        <v>20</v>
      </c>
      <c r="H37" s="177">
        <v>0</v>
      </c>
      <c r="I37">
        <v>0</v>
      </c>
      <c r="J37">
        <v>0</v>
      </c>
    </row>
    <row r="38" spans="1:11" x14ac:dyDescent="0.35">
      <c r="A38" s="177" t="s">
        <v>44</v>
      </c>
      <c r="B38" s="177">
        <v>150</v>
      </c>
      <c r="C38" s="177">
        <v>125</v>
      </c>
      <c r="D38" s="177">
        <v>100</v>
      </c>
      <c r="E38" s="177">
        <v>50</v>
      </c>
      <c r="F38" s="177">
        <v>50</v>
      </c>
      <c r="G38" s="177">
        <v>25</v>
      </c>
      <c r="H38" s="177">
        <v>0</v>
      </c>
      <c r="I38">
        <v>0</v>
      </c>
      <c r="J38">
        <v>0</v>
      </c>
    </row>
    <row r="39" spans="1:11" x14ac:dyDescent="0.35">
      <c r="A39" s="177" t="s">
        <v>45</v>
      </c>
      <c r="B39" s="177">
        <v>150</v>
      </c>
      <c r="C39" s="177">
        <v>125</v>
      </c>
      <c r="D39" s="177">
        <v>100</v>
      </c>
      <c r="E39" s="177">
        <v>50</v>
      </c>
      <c r="F39" s="177">
        <v>50</v>
      </c>
      <c r="G39" s="177">
        <v>25</v>
      </c>
      <c r="H39" s="177">
        <v>0</v>
      </c>
      <c r="I39">
        <v>0</v>
      </c>
      <c r="J39">
        <v>0</v>
      </c>
    </row>
    <row r="40" spans="1:11" x14ac:dyDescent="0.35">
      <c r="A40" s="177" t="s">
        <v>46</v>
      </c>
      <c r="B40" s="177">
        <v>150</v>
      </c>
      <c r="C40" s="177">
        <v>125</v>
      </c>
      <c r="D40" s="177">
        <v>100</v>
      </c>
      <c r="E40" s="177">
        <v>50</v>
      </c>
      <c r="F40" s="177">
        <v>25</v>
      </c>
      <c r="G40" s="177">
        <v>25</v>
      </c>
      <c r="H40" s="177">
        <v>0</v>
      </c>
      <c r="I40">
        <v>0</v>
      </c>
      <c r="J40">
        <v>0</v>
      </c>
    </row>
    <row r="41" spans="1:11" x14ac:dyDescent="0.35">
      <c r="A41" s="177" t="s">
        <v>47</v>
      </c>
      <c r="B41" s="177">
        <v>200</v>
      </c>
      <c r="C41" s="177">
        <v>160</v>
      </c>
      <c r="D41" s="177">
        <v>120</v>
      </c>
      <c r="E41" s="177">
        <v>90</v>
      </c>
      <c r="F41" s="177">
        <v>60</v>
      </c>
      <c r="G41" s="177">
        <v>30</v>
      </c>
      <c r="H41" s="177">
        <v>0</v>
      </c>
      <c r="I41">
        <v>0</v>
      </c>
      <c r="J41">
        <v>0</v>
      </c>
    </row>
    <row r="42" spans="1:11" x14ac:dyDescent="0.35">
      <c r="A42" s="177" t="s">
        <v>48</v>
      </c>
      <c r="B42" s="177">
        <v>150</v>
      </c>
      <c r="C42" s="177">
        <v>125</v>
      </c>
      <c r="D42" s="177">
        <v>100</v>
      </c>
      <c r="E42" s="177">
        <v>50</v>
      </c>
      <c r="F42" s="177">
        <v>25</v>
      </c>
      <c r="G42" s="177">
        <v>25</v>
      </c>
      <c r="H42" s="177">
        <v>0</v>
      </c>
      <c r="I42">
        <v>0</v>
      </c>
      <c r="J42">
        <v>0</v>
      </c>
    </row>
    <row r="43" spans="1:11" x14ac:dyDescent="0.35">
      <c r="A43" s="177" t="s">
        <v>49</v>
      </c>
      <c r="B43" s="177">
        <v>150</v>
      </c>
      <c r="C43" s="177">
        <v>125</v>
      </c>
      <c r="D43" s="177">
        <v>100</v>
      </c>
      <c r="E43" s="177">
        <v>50</v>
      </c>
      <c r="F43" s="177">
        <v>25</v>
      </c>
      <c r="G43" s="177">
        <v>25</v>
      </c>
      <c r="H43" s="177">
        <v>0</v>
      </c>
      <c r="I43">
        <v>0</v>
      </c>
      <c r="J43">
        <v>0</v>
      </c>
    </row>
    <row r="44" spans="1:11" x14ac:dyDescent="0.35">
      <c r="A44" s="191" t="s">
        <v>50</v>
      </c>
      <c r="B44" s="177">
        <v>200</v>
      </c>
      <c r="C44" s="177">
        <v>200</v>
      </c>
      <c r="D44" s="177">
        <v>150</v>
      </c>
      <c r="E44" s="177">
        <v>125</v>
      </c>
      <c r="F44" s="177">
        <v>75</v>
      </c>
      <c r="G44" s="177">
        <v>50</v>
      </c>
      <c r="H44" s="177">
        <v>25</v>
      </c>
      <c r="I44" s="177">
        <v>0</v>
      </c>
      <c r="J44">
        <v>0</v>
      </c>
      <c r="K44">
        <v>0</v>
      </c>
    </row>
    <row r="45" spans="1:11" x14ac:dyDescent="0.35">
      <c r="A45" t="s">
        <v>51</v>
      </c>
      <c r="B45">
        <v>150</v>
      </c>
      <c r="C45">
        <v>125</v>
      </c>
      <c r="D45">
        <v>100</v>
      </c>
      <c r="E45">
        <v>50</v>
      </c>
      <c r="F45">
        <v>25</v>
      </c>
      <c r="G45">
        <v>25</v>
      </c>
      <c r="H45">
        <v>0</v>
      </c>
    </row>
    <row r="46" spans="1:11" x14ac:dyDescent="0.35">
      <c r="A46" t="s">
        <v>52</v>
      </c>
      <c r="B46">
        <v>180</v>
      </c>
      <c r="C46">
        <v>150</v>
      </c>
      <c r="D46">
        <v>120</v>
      </c>
      <c r="E46">
        <v>60</v>
      </c>
      <c r="F46">
        <v>30</v>
      </c>
      <c r="G46">
        <v>30</v>
      </c>
      <c r="H46">
        <v>0</v>
      </c>
    </row>
    <row r="47" spans="1:11" x14ac:dyDescent="0.35">
      <c r="A47" t="s">
        <v>53</v>
      </c>
      <c r="B47">
        <v>300</v>
      </c>
      <c r="C47">
        <v>250</v>
      </c>
      <c r="D47">
        <v>200</v>
      </c>
      <c r="E47">
        <v>100</v>
      </c>
      <c r="F47">
        <v>50</v>
      </c>
      <c r="G47">
        <v>30</v>
      </c>
      <c r="H47">
        <v>0</v>
      </c>
    </row>
    <row r="48" spans="1:11" x14ac:dyDescent="0.35">
      <c r="A48" t="s">
        <v>54</v>
      </c>
      <c r="B48">
        <v>150</v>
      </c>
      <c r="C48">
        <v>125</v>
      </c>
      <c r="D48">
        <v>100</v>
      </c>
      <c r="E48">
        <v>50</v>
      </c>
      <c r="F48">
        <v>50</v>
      </c>
      <c r="G48">
        <v>25</v>
      </c>
      <c r="H48">
        <v>0</v>
      </c>
    </row>
    <row r="49" spans="1:8" x14ac:dyDescent="0.35">
      <c r="A49" t="s">
        <v>55</v>
      </c>
      <c r="B49">
        <v>140</v>
      </c>
      <c r="C49">
        <v>110</v>
      </c>
      <c r="D49">
        <v>80</v>
      </c>
      <c r="E49">
        <v>40</v>
      </c>
      <c r="F49">
        <v>30</v>
      </c>
      <c r="G49">
        <v>20</v>
      </c>
      <c r="H49">
        <v>0</v>
      </c>
    </row>
    <row r="50" spans="1:8" x14ac:dyDescent="0.35">
      <c r="A50" t="s">
        <v>56</v>
      </c>
      <c r="B50">
        <v>140</v>
      </c>
      <c r="C50">
        <v>110</v>
      </c>
      <c r="D50">
        <v>80</v>
      </c>
      <c r="E50">
        <v>40</v>
      </c>
      <c r="F50">
        <v>30</v>
      </c>
      <c r="G50">
        <v>20</v>
      </c>
      <c r="H50">
        <v>0</v>
      </c>
    </row>
    <row r="51" spans="1:8" x14ac:dyDescent="0.35">
      <c r="A51" t="s">
        <v>57</v>
      </c>
      <c r="B51">
        <v>180</v>
      </c>
      <c r="C51">
        <v>150</v>
      </c>
      <c r="D51">
        <v>120</v>
      </c>
      <c r="E51">
        <v>60</v>
      </c>
      <c r="F51">
        <v>30</v>
      </c>
      <c r="G51">
        <v>30</v>
      </c>
      <c r="H51">
        <v>0</v>
      </c>
    </row>
    <row r="52" spans="1:8" x14ac:dyDescent="0.35">
      <c r="A52" t="s">
        <v>58</v>
      </c>
      <c r="B52">
        <v>180</v>
      </c>
      <c r="C52">
        <v>150</v>
      </c>
      <c r="D52">
        <v>120</v>
      </c>
      <c r="E52">
        <v>60</v>
      </c>
      <c r="F52">
        <v>30</v>
      </c>
      <c r="G52">
        <v>30</v>
      </c>
      <c r="H52">
        <v>0</v>
      </c>
    </row>
    <row r="53" spans="1:8" x14ac:dyDescent="0.35">
      <c r="A53" t="s">
        <v>59</v>
      </c>
      <c r="B53">
        <v>150</v>
      </c>
      <c r="C53">
        <v>125</v>
      </c>
      <c r="D53">
        <v>100</v>
      </c>
      <c r="E53">
        <v>50</v>
      </c>
      <c r="F53">
        <v>50</v>
      </c>
      <c r="G53">
        <v>25</v>
      </c>
      <c r="H53">
        <v>0</v>
      </c>
    </row>
    <row r="54" spans="1:8" x14ac:dyDescent="0.35">
      <c r="B54" s="177"/>
    </row>
    <row r="55" spans="1:8" x14ac:dyDescent="0.35">
      <c r="A55" t="s">
        <v>120</v>
      </c>
    </row>
    <row r="56" spans="1:8" ht="14.35" x14ac:dyDescent="0.35">
      <c r="A56" s="187" t="s">
        <v>111</v>
      </c>
      <c r="B56" s="182" t="s">
        <v>100</v>
      </c>
      <c r="C56" s="182" t="s">
        <v>102</v>
      </c>
      <c r="D56" s="182" t="s">
        <v>104</v>
      </c>
      <c r="E56" s="182" t="s">
        <v>106</v>
      </c>
      <c r="F56" s="182" t="s">
        <v>108</v>
      </c>
      <c r="G56" s="187" t="s">
        <v>110</v>
      </c>
    </row>
    <row r="57" spans="1:8" ht="14.35" x14ac:dyDescent="0.35">
      <c r="A57" s="191" t="s">
        <v>60</v>
      </c>
      <c r="B57" s="198">
        <v>125</v>
      </c>
      <c r="C57" s="198">
        <v>100</v>
      </c>
      <c r="D57" s="198">
        <v>75</v>
      </c>
      <c r="E57" s="198">
        <v>25</v>
      </c>
      <c r="F57" s="198">
        <v>0</v>
      </c>
      <c r="G57" s="198">
        <v>0</v>
      </c>
    </row>
    <row r="58" spans="1:8" ht="14.35" x14ac:dyDescent="0.35">
      <c r="A58" s="191" t="s">
        <v>61</v>
      </c>
      <c r="B58" s="198">
        <v>100</v>
      </c>
      <c r="C58" s="198">
        <v>75</v>
      </c>
      <c r="D58" s="198">
        <v>50</v>
      </c>
      <c r="E58" s="198">
        <v>25</v>
      </c>
      <c r="F58" s="198">
        <v>0</v>
      </c>
      <c r="G58" s="198">
        <v>0</v>
      </c>
    </row>
    <row r="59" spans="1:8" ht="14.35" x14ac:dyDescent="0.35">
      <c r="A59" s="191" t="s">
        <v>62</v>
      </c>
      <c r="B59" s="198"/>
      <c r="C59" s="198"/>
      <c r="D59" s="198"/>
      <c r="E59" s="198"/>
      <c r="F59" s="198"/>
      <c r="G59" s="198"/>
    </row>
    <row r="60" spans="1:8" ht="14.35" x14ac:dyDescent="0.35">
      <c r="A60" s="191" t="s">
        <v>63</v>
      </c>
      <c r="B60" s="198"/>
      <c r="C60" s="198"/>
      <c r="D60" s="198"/>
      <c r="E60" s="198"/>
      <c r="F60" s="198"/>
      <c r="G60" s="198"/>
    </row>
    <row r="61" spans="1:8" ht="14.35" x14ac:dyDescent="0.35">
      <c r="A61" s="191" t="s">
        <v>64</v>
      </c>
      <c r="B61" s="198">
        <v>150</v>
      </c>
      <c r="C61" s="198">
        <v>100</v>
      </c>
      <c r="D61" s="198">
        <v>80</v>
      </c>
      <c r="E61" s="198">
        <v>60</v>
      </c>
      <c r="F61" s="198">
        <v>40</v>
      </c>
      <c r="G61" s="198">
        <v>0</v>
      </c>
    </row>
    <row r="62" spans="1:8" ht="14.35" x14ac:dyDescent="0.35">
      <c r="A62" s="191" t="s">
        <v>65</v>
      </c>
      <c r="B62" s="198">
        <v>150</v>
      </c>
      <c r="C62" s="198">
        <v>100</v>
      </c>
      <c r="D62" s="198">
        <v>80</v>
      </c>
      <c r="E62" s="198">
        <v>60</v>
      </c>
      <c r="F62" s="198">
        <v>40</v>
      </c>
      <c r="G62" s="198">
        <v>0</v>
      </c>
    </row>
    <row r="63" spans="1:8" ht="14.35" x14ac:dyDescent="0.35">
      <c r="A63" s="191" t="s">
        <v>66</v>
      </c>
      <c r="B63" s="198">
        <v>200</v>
      </c>
      <c r="C63" s="198">
        <v>150</v>
      </c>
      <c r="D63" s="198">
        <v>100</v>
      </c>
      <c r="E63" s="198">
        <v>75</v>
      </c>
      <c r="F63" s="198">
        <v>50</v>
      </c>
      <c r="G63" s="198">
        <v>0</v>
      </c>
    </row>
    <row r="64" spans="1:8" ht="14.35" x14ac:dyDescent="0.35">
      <c r="A64" s="191" t="s">
        <v>67</v>
      </c>
      <c r="B64" s="198">
        <v>175</v>
      </c>
      <c r="C64" s="198">
        <v>125</v>
      </c>
      <c r="D64" s="198">
        <v>100</v>
      </c>
      <c r="E64" s="198">
        <v>75</v>
      </c>
      <c r="F64" s="198">
        <v>50</v>
      </c>
      <c r="G64" s="198">
        <v>0</v>
      </c>
    </row>
    <row r="65" spans="1:8" ht="14.35" x14ac:dyDescent="0.35">
      <c r="A65" s="191" t="s">
        <v>68</v>
      </c>
      <c r="B65" s="198">
        <v>125</v>
      </c>
      <c r="C65" s="198">
        <v>100</v>
      </c>
      <c r="D65" s="198">
        <v>75</v>
      </c>
      <c r="E65" s="198">
        <v>50</v>
      </c>
      <c r="F65" s="198">
        <v>25</v>
      </c>
      <c r="G65" s="198">
        <v>0</v>
      </c>
    </row>
    <row r="66" spans="1:8" ht="14.35" x14ac:dyDescent="0.35">
      <c r="A66" s="191" t="s">
        <v>69</v>
      </c>
      <c r="B66" s="198">
        <v>125</v>
      </c>
      <c r="C66" s="198">
        <v>100</v>
      </c>
      <c r="D66" s="198">
        <v>75</v>
      </c>
      <c r="E66" s="198">
        <v>50</v>
      </c>
      <c r="F66" s="198">
        <v>25</v>
      </c>
      <c r="G66" s="198">
        <v>0</v>
      </c>
    </row>
    <row r="67" spans="1:8" ht="14.35" x14ac:dyDescent="0.35">
      <c r="A67" s="192" t="s">
        <v>112</v>
      </c>
      <c r="B67" s="198">
        <v>0.5</v>
      </c>
      <c r="C67" s="198">
        <v>0.25</v>
      </c>
      <c r="D67" s="198">
        <v>0.25</v>
      </c>
      <c r="E67" s="198">
        <v>0.1</v>
      </c>
      <c r="F67" s="198">
        <v>0.1</v>
      </c>
      <c r="G67" s="198">
        <v>0</v>
      </c>
    </row>
    <row r="68" spans="1:8" ht="14.35" x14ac:dyDescent="0.35">
      <c r="A68" s="192" t="s">
        <v>113</v>
      </c>
      <c r="B68" s="198">
        <v>0.3</v>
      </c>
      <c r="C68" s="198">
        <v>0.25</v>
      </c>
      <c r="D68" s="198">
        <v>0.2</v>
      </c>
      <c r="E68" s="198">
        <v>0.1</v>
      </c>
      <c r="F68" s="193"/>
      <c r="G68" s="193"/>
    </row>
    <row r="69" spans="1:8" ht="14.35" x14ac:dyDescent="0.35">
      <c r="A69" s="192" t="s">
        <v>114</v>
      </c>
      <c r="B69" s="198">
        <v>0.25</v>
      </c>
      <c r="C69" s="198">
        <v>0.2</v>
      </c>
      <c r="D69" s="198">
        <v>0.1</v>
      </c>
      <c r="E69" s="198">
        <v>0.1</v>
      </c>
      <c r="F69" s="193"/>
      <c r="G69" s="193"/>
      <c r="H69" s="62"/>
    </row>
    <row r="70" spans="1:8" ht="14.35" x14ac:dyDescent="0.35">
      <c r="A70" s="192" t="s">
        <v>115</v>
      </c>
      <c r="B70" s="198">
        <v>0.5</v>
      </c>
      <c r="C70" s="198">
        <v>0.5</v>
      </c>
      <c r="D70" s="198">
        <v>0.25</v>
      </c>
      <c r="E70" s="198">
        <v>0.25</v>
      </c>
      <c r="F70" s="198">
        <v>0.1</v>
      </c>
      <c r="G70" s="198">
        <v>0</v>
      </c>
      <c r="H70" s="63"/>
    </row>
    <row r="71" spans="1:8" ht="14.35" x14ac:dyDescent="0.35">
      <c r="A71" s="192" t="s">
        <v>116</v>
      </c>
      <c r="B71" s="198">
        <v>0.5</v>
      </c>
      <c r="C71" s="198">
        <v>0.5</v>
      </c>
      <c r="D71" s="198">
        <v>0.25</v>
      </c>
      <c r="E71" s="198">
        <v>0.25</v>
      </c>
      <c r="F71" s="198">
        <v>0.1</v>
      </c>
      <c r="G71" s="198">
        <v>0</v>
      </c>
      <c r="H71" s="62"/>
    </row>
    <row r="72" spans="1:8" ht="14.35" x14ac:dyDescent="0.35">
      <c r="A72" s="192" t="s">
        <v>117</v>
      </c>
      <c r="B72" s="198">
        <v>0.5</v>
      </c>
      <c r="C72" s="198">
        <v>0.5</v>
      </c>
      <c r="D72" s="198">
        <v>0.25</v>
      </c>
      <c r="E72" s="198">
        <v>0.25</v>
      </c>
      <c r="F72" s="198">
        <v>0.1</v>
      </c>
      <c r="G72" s="198">
        <v>0</v>
      </c>
      <c r="H72" s="63"/>
    </row>
    <row r="73" spans="1:8" ht="14.35" x14ac:dyDescent="0.35">
      <c r="A73" s="192" t="s">
        <v>118</v>
      </c>
      <c r="B73" s="198">
        <v>0.5</v>
      </c>
      <c r="C73" s="198">
        <v>0.5</v>
      </c>
      <c r="D73" s="198">
        <v>0.25</v>
      </c>
      <c r="E73" s="198">
        <v>0.25</v>
      </c>
      <c r="F73" s="198">
        <v>0.1</v>
      </c>
      <c r="G73" s="198">
        <v>0</v>
      </c>
    </row>
    <row r="74" spans="1:8" ht="14.35" x14ac:dyDescent="0.35">
      <c r="A74" s="194" t="s">
        <v>14</v>
      </c>
      <c r="B74" s="195">
        <v>200</v>
      </c>
      <c r="C74" s="195">
        <v>100</v>
      </c>
      <c r="D74" s="195">
        <v>100</v>
      </c>
      <c r="E74" s="195">
        <v>40</v>
      </c>
      <c r="F74" s="195">
        <v>40</v>
      </c>
      <c r="G74" s="195">
        <v>0</v>
      </c>
    </row>
    <row r="75" spans="1:8" ht="14.35" x14ac:dyDescent="0.35">
      <c r="A75" s="191" t="s">
        <v>70</v>
      </c>
      <c r="B75" s="198">
        <v>175</v>
      </c>
      <c r="C75" s="198">
        <v>150</v>
      </c>
      <c r="D75" s="198">
        <v>150</v>
      </c>
      <c r="E75" s="198">
        <v>75</v>
      </c>
      <c r="F75" s="198">
        <v>50</v>
      </c>
      <c r="G75" s="198">
        <v>0</v>
      </c>
    </row>
    <row r="76" spans="1:8" ht="14.35" x14ac:dyDescent="0.35">
      <c r="A76" s="191" t="s">
        <v>71</v>
      </c>
      <c r="B76" s="198">
        <v>200</v>
      </c>
      <c r="C76" s="198">
        <v>175</v>
      </c>
      <c r="D76" s="198">
        <v>150</v>
      </c>
      <c r="E76" s="198">
        <v>100</v>
      </c>
      <c r="F76" s="198">
        <v>75</v>
      </c>
      <c r="G76" s="198">
        <v>0</v>
      </c>
    </row>
    <row r="77" spans="1:8" ht="14.35" x14ac:dyDescent="0.35">
      <c r="A77" s="191" t="s">
        <v>15</v>
      </c>
      <c r="B77" s="198">
        <v>100</v>
      </c>
      <c r="C77" s="198">
        <v>75</v>
      </c>
      <c r="D77" s="198">
        <v>75</v>
      </c>
      <c r="E77" s="198">
        <v>50</v>
      </c>
      <c r="F77" s="198">
        <v>25</v>
      </c>
      <c r="G77" s="193"/>
    </row>
    <row r="78" spans="1:8" ht="14.35" x14ac:dyDescent="0.35">
      <c r="A78" s="191" t="s">
        <v>17</v>
      </c>
      <c r="B78" s="198">
        <v>100</v>
      </c>
      <c r="C78" s="198">
        <v>75</v>
      </c>
      <c r="D78" s="198">
        <v>75</v>
      </c>
      <c r="E78" s="198">
        <v>50</v>
      </c>
      <c r="F78" s="198">
        <v>25</v>
      </c>
      <c r="G78" s="198">
        <v>0</v>
      </c>
    </row>
    <row r="79" spans="1:8" ht="14.35" x14ac:dyDescent="0.35">
      <c r="A79" s="191" t="s">
        <v>19</v>
      </c>
      <c r="B79" s="198">
        <v>200</v>
      </c>
      <c r="C79" s="198">
        <v>175</v>
      </c>
      <c r="D79" s="198">
        <v>150</v>
      </c>
      <c r="E79" s="198">
        <v>100</v>
      </c>
      <c r="F79" s="198">
        <v>75</v>
      </c>
      <c r="G79" s="198">
        <v>0</v>
      </c>
    </row>
    <row r="80" spans="1:8" ht="14.35" x14ac:dyDescent="0.35">
      <c r="A80" s="191" t="s">
        <v>21</v>
      </c>
      <c r="B80" s="198">
        <v>175</v>
      </c>
      <c r="C80" s="198">
        <v>150</v>
      </c>
      <c r="D80" s="198">
        <v>150</v>
      </c>
      <c r="E80" s="198">
        <v>75</v>
      </c>
      <c r="F80" s="198">
        <v>50</v>
      </c>
      <c r="G80" s="198">
        <v>0</v>
      </c>
    </row>
    <row r="81" spans="1:7" ht="14.35" x14ac:dyDescent="0.35">
      <c r="A81" s="177" t="s">
        <v>23</v>
      </c>
      <c r="B81" s="198">
        <v>200</v>
      </c>
      <c r="C81" s="198">
        <v>175</v>
      </c>
      <c r="D81" s="198">
        <v>150</v>
      </c>
      <c r="E81" s="198">
        <v>100</v>
      </c>
      <c r="F81" s="198">
        <v>75</v>
      </c>
      <c r="G81" s="198">
        <v>0</v>
      </c>
    </row>
    <row r="82" spans="1:7" ht="14.35" x14ac:dyDescent="0.35">
      <c r="A82" s="179" t="s">
        <v>25</v>
      </c>
      <c r="B82" s="198">
        <v>200</v>
      </c>
      <c r="C82" s="198">
        <v>175</v>
      </c>
      <c r="D82" s="198">
        <v>150</v>
      </c>
      <c r="E82" s="198">
        <v>100</v>
      </c>
      <c r="F82" s="198">
        <v>75</v>
      </c>
      <c r="G82" s="198">
        <v>0</v>
      </c>
    </row>
    <row r="83" spans="1:7" ht="14.35" x14ac:dyDescent="0.35">
      <c r="A83" s="191" t="s">
        <v>27</v>
      </c>
      <c r="B83" s="198">
        <v>175</v>
      </c>
      <c r="C83" s="198">
        <v>150</v>
      </c>
      <c r="D83" s="198">
        <v>150</v>
      </c>
      <c r="E83" s="198">
        <v>75</v>
      </c>
      <c r="F83" s="198">
        <v>50</v>
      </c>
      <c r="G83" s="198">
        <v>0</v>
      </c>
    </row>
    <row r="84" spans="1:7" ht="14.35" x14ac:dyDescent="0.35">
      <c r="A84" s="191" t="s">
        <v>29</v>
      </c>
      <c r="B84" s="198">
        <v>140</v>
      </c>
      <c r="C84" s="198">
        <v>120</v>
      </c>
      <c r="D84" s="198">
        <v>100</v>
      </c>
      <c r="E84" s="198">
        <v>70</v>
      </c>
      <c r="F84" s="198">
        <v>30</v>
      </c>
      <c r="G84" s="198">
        <v>0</v>
      </c>
    </row>
    <row r="85" spans="1:7" ht="14.35" x14ac:dyDescent="0.35">
      <c r="A85" s="191" t="s">
        <v>31</v>
      </c>
      <c r="B85" s="198">
        <v>125</v>
      </c>
      <c r="C85" s="198">
        <v>100</v>
      </c>
      <c r="D85" s="198">
        <v>75</v>
      </c>
      <c r="E85" s="198">
        <v>50</v>
      </c>
      <c r="F85" s="198">
        <v>50</v>
      </c>
      <c r="G85" s="198">
        <v>0</v>
      </c>
    </row>
    <row r="86" spans="1:7" ht="14.35" x14ac:dyDescent="0.35">
      <c r="A86" s="191" t="s">
        <v>33</v>
      </c>
      <c r="B86" s="198">
        <v>125</v>
      </c>
      <c r="C86" s="198">
        <v>100</v>
      </c>
      <c r="D86" s="198">
        <v>75</v>
      </c>
      <c r="E86" s="198">
        <v>50</v>
      </c>
      <c r="F86" s="198">
        <v>50</v>
      </c>
      <c r="G86" s="198">
        <v>0</v>
      </c>
    </row>
    <row r="87" spans="1:7" ht="14.35" x14ac:dyDescent="0.35">
      <c r="A87" s="191" t="s">
        <v>35</v>
      </c>
      <c r="B87" s="198">
        <v>140</v>
      </c>
      <c r="C87" s="198">
        <v>120</v>
      </c>
      <c r="D87" s="198">
        <v>100</v>
      </c>
      <c r="E87" s="198">
        <v>60</v>
      </c>
      <c r="F87" s="198">
        <v>30</v>
      </c>
      <c r="G87" s="198">
        <v>0</v>
      </c>
    </row>
    <row r="88" spans="1:7" ht="14.35" x14ac:dyDescent="0.35">
      <c r="A88" s="179" t="s">
        <v>37</v>
      </c>
      <c r="B88" s="198">
        <v>140</v>
      </c>
      <c r="C88" s="198">
        <v>120</v>
      </c>
      <c r="D88" s="198">
        <v>100</v>
      </c>
      <c r="E88" s="198">
        <v>60</v>
      </c>
      <c r="F88" s="198">
        <v>30</v>
      </c>
      <c r="G88" s="198">
        <v>0</v>
      </c>
    </row>
    <row r="89" spans="1:7" ht="14.35" x14ac:dyDescent="0.35">
      <c r="A89" s="191" t="s">
        <v>39</v>
      </c>
      <c r="B89" s="198">
        <v>140</v>
      </c>
      <c r="C89" s="198">
        <v>120</v>
      </c>
      <c r="D89" s="198">
        <v>100</v>
      </c>
      <c r="E89" s="198">
        <v>60</v>
      </c>
      <c r="F89" s="198">
        <v>30</v>
      </c>
      <c r="G89" s="198">
        <v>0</v>
      </c>
    </row>
    <row r="90" spans="1:7" ht="14.35" x14ac:dyDescent="0.35">
      <c r="A90" s="191" t="s">
        <v>41</v>
      </c>
      <c r="B90" s="198"/>
      <c r="C90" s="198"/>
      <c r="D90" s="198"/>
      <c r="E90" s="198"/>
      <c r="F90" s="198"/>
      <c r="G90" s="198"/>
    </row>
    <row r="91" spans="1:7" ht="14.35" x14ac:dyDescent="0.35">
      <c r="A91" s="191" t="s">
        <v>119</v>
      </c>
      <c r="B91" s="198">
        <v>175</v>
      </c>
      <c r="C91" s="198">
        <v>150</v>
      </c>
      <c r="D91" s="198">
        <v>150</v>
      </c>
      <c r="E91" s="198">
        <v>75</v>
      </c>
      <c r="F91" s="198">
        <v>50</v>
      </c>
      <c r="G91" s="198">
        <v>0</v>
      </c>
    </row>
    <row r="92" spans="1:7" ht="14.35" x14ac:dyDescent="0.35">
      <c r="A92" s="191" t="s">
        <v>43</v>
      </c>
      <c r="B92" s="198">
        <v>140</v>
      </c>
      <c r="C92" s="198">
        <v>120</v>
      </c>
      <c r="D92" s="198">
        <v>100</v>
      </c>
      <c r="E92" s="198">
        <v>80</v>
      </c>
      <c r="F92" s="198">
        <v>40</v>
      </c>
      <c r="G92" s="198">
        <v>0</v>
      </c>
    </row>
    <row r="93" spans="1:7" ht="14.35" x14ac:dyDescent="0.35">
      <c r="A93" s="191" t="s">
        <v>44</v>
      </c>
      <c r="B93" s="198">
        <v>140</v>
      </c>
      <c r="C93" s="198">
        <v>120</v>
      </c>
      <c r="D93" s="198">
        <v>100</v>
      </c>
      <c r="E93" s="198">
        <v>80</v>
      </c>
      <c r="F93" s="198">
        <v>40</v>
      </c>
      <c r="G93" s="198">
        <v>0</v>
      </c>
    </row>
    <row r="94" spans="1:7" ht="14.35" x14ac:dyDescent="0.35">
      <c r="A94" s="191" t="s">
        <v>45</v>
      </c>
      <c r="B94" s="198">
        <v>125</v>
      </c>
      <c r="C94" s="198">
        <v>100</v>
      </c>
      <c r="D94" s="198">
        <v>75</v>
      </c>
      <c r="E94" s="198">
        <v>50</v>
      </c>
      <c r="F94" s="198">
        <v>50</v>
      </c>
      <c r="G94" s="198">
        <v>0</v>
      </c>
    </row>
    <row r="95" spans="1:7" ht="14.35" x14ac:dyDescent="0.35">
      <c r="A95" s="191" t="s">
        <v>46</v>
      </c>
      <c r="B95" s="198">
        <v>175</v>
      </c>
      <c r="C95" s="198">
        <v>150</v>
      </c>
      <c r="D95" s="198">
        <v>100</v>
      </c>
      <c r="E95" s="198">
        <v>50</v>
      </c>
      <c r="F95" s="198">
        <v>50</v>
      </c>
      <c r="G95" s="198">
        <v>0</v>
      </c>
    </row>
    <row r="96" spans="1:7" ht="14.35" x14ac:dyDescent="0.35">
      <c r="A96" s="191" t="s">
        <v>47</v>
      </c>
      <c r="B96" s="198">
        <v>200</v>
      </c>
      <c r="C96" s="198">
        <v>175</v>
      </c>
      <c r="D96" s="198">
        <v>150</v>
      </c>
      <c r="E96" s="198">
        <v>100</v>
      </c>
      <c r="F96" s="198">
        <v>75</v>
      </c>
      <c r="G96" s="198">
        <v>0</v>
      </c>
    </row>
    <row r="97" spans="1:7" ht="14.35" x14ac:dyDescent="0.35">
      <c r="A97" s="191" t="s">
        <v>48</v>
      </c>
      <c r="B97" s="198">
        <v>175</v>
      </c>
      <c r="C97" s="198">
        <v>150</v>
      </c>
      <c r="D97" s="198">
        <v>100</v>
      </c>
      <c r="E97" s="198">
        <v>80</v>
      </c>
      <c r="F97" s="198">
        <v>40</v>
      </c>
      <c r="G97" s="198">
        <v>0</v>
      </c>
    </row>
    <row r="98" spans="1:7" ht="14.35" x14ac:dyDescent="0.35">
      <c r="A98" s="191" t="s">
        <v>49</v>
      </c>
      <c r="B98" s="198">
        <v>125</v>
      </c>
      <c r="C98" s="198">
        <v>100</v>
      </c>
      <c r="D98" s="198">
        <v>100</v>
      </c>
      <c r="E98" s="198">
        <v>50</v>
      </c>
      <c r="F98" s="198">
        <v>50</v>
      </c>
      <c r="G98" s="198">
        <v>0</v>
      </c>
    </row>
    <row r="99" spans="1:7" ht="14.35" x14ac:dyDescent="0.35">
      <c r="A99" s="191" t="s">
        <v>50</v>
      </c>
      <c r="B99" s="198">
        <v>150</v>
      </c>
      <c r="C99" s="198">
        <v>125</v>
      </c>
      <c r="D99" s="198">
        <v>75</v>
      </c>
      <c r="E99" s="198">
        <v>50</v>
      </c>
      <c r="F99" s="198">
        <v>25</v>
      </c>
      <c r="G99" s="198">
        <v>0</v>
      </c>
    </row>
    <row r="100" spans="1:7" ht="14.35" x14ac:dyDescent="0.35">
      <c r="A100" s="191" t="s">
        <v>51</v>
      </c>
      <c r="B100" s="198">
        <v>200</v>
      </c>
      <c r="C100" s="198">
        <v>175</v>
      </c>
      <c r="D100" s="198">
        <v>150</v>
      </c>
      <c r="E100" s="198">
        <v>100</v>
      </c>
      <c r="F100" s="198">
        <v>50</v>
      </c>
      <c r="G100" s="198">
        <v>0</v>
      </c>
    </row>
    <row r="101" spans="1:7" ht="14.35" x14ac:dyDescent="0.35">
      <c r="A101" s="191" t="s">
        <v>52</v>
      </c>
      <c r="B101" s="198">
        <v>140</v>
      </c>
      <c r="C101" s="198">
        <v>120</v>
      </c>
      <c r="D101" s="198">
        <v>100</v>
      </c>
      <c r="E101" s="198">
        <v>60</v>
      </c>
      <c r="F101" s="198">
        <v>30</v>
      </c>
      <c r="G101" s="198">
        <v>0</v>
      </c>
    </row>
    <row r="102" spans="1:7" ht="14.35" x14ac:dyDescent="0.35">
      <c r="A102" s="191" t="s">
        <v>53</v>
      </c>
      <c r="B102" s="198">
        <v>250</v>
      </c>
      <c r="C102" s="198">
        <v>200</v>
      </c>
      <c r="D102" s="198">
        <v>150</v>
      </c>
      <c r="E102" s="198">
        <v>100</v>
      </c>
      <c r="F102" s="198">
        <v>50</v>
      </c>
      <c r="G102" s="198">
        <v>0</v>
      </c>
    </row>
    <row r="103" spans="1:7" ht="14.35" x14ac:dyDescent="0.35">
      <c r="A103" s="191" t="s">
        <v>54</v>
      </c>
      <c r="B103" s="198">
        <v>175</v>
      </c>
      <c r="C103" s="198">
        <v>150</v>
      </c>
      <c r="D103" s="198">
        <v>100</v>
      </c>
      <c r="E103" s="198">
        <v>80</v>
      </c>
      <c r="F103" s="198">
        <v>40</v>
      </c>
      <c r="G103" s="198">
        <v>0</v>
      </c>
    </row>
    <row r="104" spans="1:7" ht="14.35" x14ac:dyDescent="0.35">
      <c r="A104" s="191" t="s">
        <v>55</v>
      </c>
      <c r="B104" s="198">
        <v>140</v>
      </c>
      <c r="C104" s="198">
        <v>120</v>
      </c>
      <c r="D104" s="198">
        <v>100</v>
      </c>
      <c r="E104" s="198">
        <v>80</v>
      </c>
      <c r="F104" s="198">
        <v>40</v>
      </c>
      <c r="G104" s="198">
        <v>0</v>
      </c>
    </row>
    <row r="105" spans="1:7" ht="14.35" x14ac:dyDescent="0.35">
      <c r="A105" s="191" t="s">
        <v>56</v>
      </c>
      <c r="B105" s="198">
        <v>140</v>
      </c>
      <c r="C105" s="198">
        <v>120</v>
      </c>
      <c r="D105" s="198">
        <v>100</v>
      </c>
      <c r="E105" s="198">
        <v>80</v>
      </c>
      <c r="F105" s="198">
        <v>40</v>
      </c>
      <c r="G105" s="198">
        <v>0</v>
      </c>
    </row>
    <row r="106" spans="1:7" ht="14.35" x14ac:dyDescent="0.35">
      <c r="A106" s="191" t="s">
        <v>57</v>
      </c>
      <c r="B106" s="198">
        <v>200</v>
      </c>
      <c r="C106" s="198">
        <v>150</v>
      </c>
      <c r="D106" s="198">
        <v>125</v>
      </c>
      <c r="E106" s="198">
        <v>100</v>
      </c>
      <c r="F106" s="198">
        <v>50</v>
      </c>
      <c r="G106" s="198">
        <v>0</v>
      </c>
    </row>
    <row r="107" spans="1:7" ht="14.35" x14ac:dyDescent="0.35">
      <c r="A107" s="191" t="s">
        <v>58</v>
      </c>
      <c r="B107" s="198">
        <v>100</v>
      </c>
      <c r="C107" s="198">
        <v>75</v>
      </c>
      <c r="D107" s="198">
        <v>50</v>
      </c>
      <c r="E107" s="198">
        <v>25</v>
      </c>
      <c r="F107" s="198">
        <v>25</v>
      </c>
      <c r="G107" s="198">
        <v>0</v>
      </c>
    </row>
    <row r="108" spans="1:7" ht="14.35" x14ac:dyDescent="0.35">
      <c r="A108" s="191" t="s">
        <v>59</v>
      </c>
      <c r="B108" s="198">
        <v>140</v>
      </c>
      <c r="C108" s="198">
        <v>120</v>
      </c>
      <c r="D108" s="198">
        <v>100</v>
      </c>
      <c r="E108" s="198">
        <v>70</v>
      </c>
      <c r="F108" s="198">
        <v>30</v>
      </c>
      <c r="G108" s="198">
        <v>0</v>
      </c>
    </row>
  </sheetData>
  <phoneticPr fontId="6" type="noConversion"/>
  <pageMargins left="0.75" right="0.75" top="1" bottom="1" header="0.5" footer="0.5"/>
  <pageSetup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79998168889431442"/>
    <pageSetUpPr fitToPage="1"/>
  </sheetPr>
  <dimension ref="A1:E21"/>
  <sheetViews>
    <sheetView view="pageLayout" zoomScale="80" zoomScalePageLayoutView="80" workbookViewId="0">
      <selection activeCell="E5" sqref="E5"/>
    </sheetView>
  </sheetViews>
  <sheetFormatPr defaultColWidth="11" defaultRowHeight="12.35" x14ac:dyDescent="0.35"/>
  <cols>
    <col min="1" max="1" width="48.26171875" style="1" customWidth="1"/>
    <col min="2" max="2" width="12" customWidth="1"/>
    <col min="3" max="3" width="9.1015625" customWidth="1"/>
    <col min="4" max="4" width="6.734375" customWidth="1"/>
    <col min="5" max="5" width="7" customWidth="1"/>
    <col min="6" max="7" width="82.3671875" bestFit="1" customWidth="1"/>
  </cols>
  <sheetData>
    <row r="1" spans="1:5" ht="78" customHeight="1" x14ac:dyDescent="0.35">
      <c r="A1" s="347" t="s">
        <v>121</v>
      </c>
      <c r="B1" s="348"/>
      <c r="C1" s="348"/>
      <c r="D1" s="348"/>
      <c r="E1" s="348"/>
    </row>
    <row r="2" spans="1:5" s="39" customFormat="1" ht="93" customHeight="1" x14ac:dyDescent="0.35">
      <c r="B2" s="118" t="s">
        <v>122</v>
      </c>
      <c r="C2" s="48" t="s">
        <v>123</v>
      </c>
      <c r="D2" s="48" t="s">
        <v>124</v>
      </c>
      <c r="E2" s="48" t="s">
        <v>125</v>
      </c>
    </row>
    <row r="3" spans="1:5" ht="29.1" customHeight="1" x14ac:dyDescent="0.45">
      <c r="A3" s="255" t="s">
        <v>126</v>
      </c>
      <c r="B3" s="256" t="e">
        <f>VLOOKUP('STEP 1--Field Information'!E8,'Crop look up'!A2:B45,2,FALSE)</f>
        <v>#N/A</v>
      </c>
      <c r="C3" s="257" t="e">
        <f>B3</f>
        <v>#N/A</v>
      </c>
      <c r="D3" s="257"/>
      <c r="E3" s="257"/>
    </row>
    <row r="4" spans="1:5" ht="29.1" customHeight="1" x14ac:dyDescent="0.45">
      <c r="A4" s="255" t="s">
        <v>127</v>
      </c>
      <c r="B4" s="258" t="e">
        <f>VLOOKUP('STEP 1--Field Information'!E8,'Veg rec lookup'!A2:I54, MATCH('STEP 2--Soil Test Information'!B5,'Veg rec lookup'!A1:J1,0), FALSE)</f>
        <v>#N/A</v>
      </c>
      <c r="C4" s="257"/>
      <c r="D4" s="257" t="e">
        <f>B4</f>
        <v>#N/A</v>
      </c>
      <c r="E4" s="257"/>
    </row>
    <row r="5" spans="1:5" ht="29.1" customHeight="1" x14ac:dyDescent="0.45">
      <c r="A5" s="255" t="s">
        <v>128</v>
      </c>
      <c r="B5" s="258" t="e">
        <f>VLOOKUP('STEP 1--Field Information'!E8,'Veg rec lookup'!A57:G109,MATCH('STEP 2--Soil Test Information'!B6,'Veg rec lookup'!A56:G56,0), FALSE)</f>
        <v>#N/A</v>
      </c>
      <c r="C5" s="257"/>
      <c r="D5" s="257"/>
      <c r="E5" s="259" t="e">
        <f>B5</f>
        <v>#N/A</v>
      </c>
    </row>
    <row r="6" spans="1:5" ht="29.1" customHeight="1" x14ac:dyDescent="0.45">
      <c r="A6" s="255" t="s">
        <v>129</v>
      </c>
      <c r="B6" s="260">
        <f>'STEP 2--Soil Test Information'!B20</f>
        <v>0</v>
      </c>
      <c r="C6" s="257">
        <f>MIN(40,B6*10)</f>
        <v>0</v>
      </c>
      <c r="D6" s="257"/>
      <c r="E6" s="257"/>
    </row>
    <row r="7" spans="1:5" ht="29.25" customHeight="1" x14ac:dyDescent="0.45">
      <c r="A7" s="255" t="s">
        <v>130</v>
      </c>
      <c r="B7" s="261">
        <f>'STEP 1--Field Information'!E10</f>
        <v>0</v>
      </c>
      <c r="C7" s="257" t="e">
        <f>VLOOKUP('STEP 1--Field Information'!E10,'Crop look up'!D16:E29,2,FALSE)</f>
        <v>#N/A</v>
      </c>
      <c r="D7" s="257"/>
      <c r="E7" s="257"/>
    </row>
    <row r="8" spans="1:5" ht="29.1" customHeight="1" x14ac:dyDescent="0.45">
      <c r="A8" s="255" t="s">
        <v>131</v>
      </c>
      <c r="B8" s="262"/>
      <c r="C8" s="257">
        <f>B8*0.6</f>
        <v>0</v>
      </c>
      <c r="D8" s="257">
        <f>B8*0.24</f>
        <v>0</v>
      </c>
      <c r="E8" s="257">
        <f>B8*0.9</f>
        <v>0</v>
      </c>
    </row>
    <row r="9" spans="1:5" ht="29.1" customHeight="1" x14ac:dyDescent="0.45">
      <c r="A9" s="255" t="s">
        <v>132</v>
      </c>
      <c r="B9" s="262"/>
      <c r="C9" s="263">
        <f>B9*0.75</f>
        <v>0</v>
      </c>
      <c r="D9" s="263">
        <f>B9*(0.375*0.8)</f>
        <v>0</v>
      </c>
      <c r="E9" s="263">
        <f>B9*(0.375*6)</f>
        <v>0</v>
      </c>
    </row>
    <row r="10" spans="1:5" ht="31" thickBot="1" x14ac:dyDescent="0.5">
      <c r="A10" s="255" t="s">
        <v>133</v>
      </c>
      <c r="B10" s="264">
        <v>0</v>
      </c>
      <c r="C10" s="265">
        <f>B10*30</f>
        <v>0</v>
      </c>
      <c r="D10" s="266"/>
      <c r="E10" s="266"/>
    </row>
    <row r="11" spans="1:5" ht="31.5" customHeight="1" thickBot="1" x14ac:dyDescent="0.5">
      <c r="A11" s="114" t="s">
        <v>134</v>
      </c>
      <c r="B11" s="115"/>
      <c r="C11" s="116" t="e">
        <f>MAX(C3-SUM(C6:C10),0)</f>
        <v>#N/A</v>
      </c>
      <c r="D11" s="116" t="e">
        <f>MAX(D4-D8-D9,0)</f>
        <v>#N/A</v>
      </c>
      <c r="E11" s="117" t="e">
        <f>MAX(E5-E8-E9,0)</f>
        <v>#N/A</v>
      </c>
    </row>
    <row r="12" spans="1:5" ht="29.1" customHeight="1" x14ac:dyDescent="0.35"/>
    <row r="13" spans="1:5" ht="23.25" customHeight="1" x14ac:dyDescent="0.35">
      <c r="A13" s="349"/>
      <c r="B13" s="350"/>
      <c r="C13" s="350"/>
      <c r="D13" s="350"/>
    </row>
    <row r="14" spans="1:5" ht="57" customHeight="1" x14ac:dyDescent="0.35"/>
    <row r="15" spans="1:5" ht="12.7" thickBot="1" x14ac:dyDescent="0.4">
      <c r="A15" s="65"/>
      <c r="B15" s="66"/>
      <c r="C15" s="66"/>
      <c r="D15" s="67"/>
    </row>
    <row r="16" spans="1:5" x14ac:dyDescent="0.35">
      <c r="A16" s="5"/>
      <c r="B16" s="6"/>
      <c r="C16" s="6"/>
      <c r="D16" s="7"/>
    </row>
    <row r="17" spans="1:4" x14ac:dyDescent="0.35">
      <c r="A17" s="8"/>
      <c r="B17" s="6"/>
      <c r="C17" s="6"/>
      <c r="D17" s="7"/>
    </row>
    <row r="18" spans="1:4" x14ac:dyDescent="0.35">
      <c r="A18" s="8"/>
      <c r="B18" s="6"/>
      <c r="C18" s="6"/>
      <c r="D18" s="7"/>
    </row>
    <row r="19" spans="1:4" x14ac:dyDescent="0.35">
      <c r="A19" s="9"/>
      <c r="B19" s="10"/>
      <c r="C19" s="10"/>
      <c r="D19" s="11"/>
    </row>
    <row r="20" spans="1:4" x14ac:dyDescent="0.35">
      <c r="A20"/>
    </row>
    <row r="21" spans="1:4" x14ac:dyDescent="0.35">
      <c r="A21" s="4"/>
    </row>
  </sheetData>
  <mergeCells count="2">
    <mergeCell ref="A1:E1"/>
    <mergeCell ref="A13:D13"/>
  </mergeCells>
  <phoneticPr fontId="6" type="noConversion"/>
  <pageMargins left="0.75" right="0.75" top="1" bottom="1" header="0.5" footer="0.5"/>
  <pageSetup scale="73" orientation="landscape" horizontalDpi="4294967292" verticalDpi="4294967292" r:id="rId1"/>
  <headerFooter>
    <oddHeader>&amp;L&amp;"Verdana,Bold"&amp;14Calculate crop nutrient needs</oddHeader>
    <oddFooter xml:space="preserve">&amp;L*Manure and compost contributions: Values in this spreadsheet are based on standard contributions from manure. If possible, have your manure tested by a lab and add the exact amounts of N, P, K contributions onto this spreadsheet.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45"/>
  <sheetViews>
    <sheetView view="pageLayout" topLeftCell="A36" workbookViewId="0">
      <selection activeCell="A10" sqref="A10"/>
    </sheetView>
  </sheetViews>
  <sheetFormatPr defaultColWidth="11" defaultRowHeight="12.35" x14ac:dyDescent="0.35"/>
  <cols>
    <col min="1" max="1" width="16.47265625" customWidth="1"/>
  </cols>
  <sheetData>
    <row r="1" spans="1:5" x14ac:dyDescent="0.35">
      <c r="B1" s="182" t="s">
        <v>135</v>
      </c>
      <c r="C1" s="182" t="s">
        <v>136</v>
      </c>
    </row>
    <row r="2" spans="1:5" ht="12.7" x14ac:dyDescent="0.4">
      <c r="A2" s="178" t="s">
        <v>70</v>
      </c>
      <c r="B2" s="183">
        <v>50</v>
      </c>
      <c r="C2" s="184"/>
      <c r="D2" s="51" t="s">
        <v>38</v>
      </c>
      <c r="E2">
        <v>25</v>
      </c>
    </row>
    <row r="3" spans="1:5" ht="12.7" x14ac:dyDescent="0.4">
      <c r="A3" s="178" t="s">
        <v>71</v>
      </c>
      <c r="B3" s="183">
        <v>60</v>
      </c>
      <c r="C3" s="183">
        <v>75</v>
      </c>
      <c r="D3" s="51" t="s">
        <v>137</v>
      </c>
      <c r="E3">
        <v>10</v>
      </c>
    </row>
    <row r="4" spans="1:5" ht="25.35" x14ac:dyDescent="0.4">
      <c r="A4" s="178" t="s">
        <v>15</v>
      </c>
      <c r="B4" s="183">
        <v>115</v>
      </c>
      <c r="C4" s="183">
        <v>130</v>
      </c>
      <c r="D4" s="51" t="s">
        <v>138</v>
      </c>
      <c r="E4">
        <v>50</v>
      </c>
    </row>
    <row r="5" spans="1:5" ht="38" x14ac:dyDescent="0.4">
      <c r="A5" s="178" t="s">
        <v>17</v>
      </c>
      <c r="B5" s="183">
        <v>50</v>
      </c>
      <c r="C5" s="184"/>
      <c r="D5" s="51" t="s">
        <v>139</v>
      </c>
      <c r="E5">
        <v>80</v>
      </c>
    </row>
    <row r="6" spans="1:5" ht="25.35" x14ac:dyDescent="0.4">
      <c r="A6" s="178" t="s">
        <v>19</v>
      </c>
      <c r="B6" s="183">
        <v>115</v>
      </c>
      <c r="C6" s="183">
        <v>130</v>
      </c>
      <c r="D6" s="51" t="s">
        <v>140</v>
      </c>
      <c r="E6">
        <v>50</v>
      </c>
    </row>
    <row r="7" spans="1:5" ht="38" x14ac:dyDescent="0.4">
      <c r="A7" s="178" t="s">
        <v>60</v>
      </c>
      <c r="B7" s="183">
        <v>0</v>
      </c>
      <c r="C7" s="183">
        <v>30</v>
      </c>
      <c r="D7" s="51" t="s">
        <v>141</v>
      </c>
      <c r="E7">
        <f>AVERAGE(70,150)</f>
        <v>110</v>
      </c>
    </row>
    <row r="8" spans="1:5" ht="20.7" x14ac:dyDescent="0.4">
      <c r="A8" s="179" t="s">
        <v>21</v>
      </c>
      <c r="B8" s="183">
        <v>115</v>
      </c>
      <c r="C8" s="184">
        <v>130</v>
      </c>
      <c r="D8" s="51" t="s">
        <v>142</v>
      </c>
      <c r="E8">
        <f>90</f>
        <v>90</v>
      </c>
    </row>
    <row r="9" spans="1:5" ht="12.7" x14ac:dyDescent="0.4">
      <c r="A9" s="177" t="s">
        <v>23</v>
      </c>
      <c r="B9" s="183">
        <v>130</v>
      </c>
      <c r="C9" s="184">
        <v>150</v>
      </c>
      <c r="D9" s="51" t="s">
        <v>143</v>
      </c>
      <c r="E9">
        <v>100</v>
      </c>
    </row>
    <row r="10" spans="1:5" ht="12.7" x14ac:dyDescent="0.4">
      <c r="A10" s="179" t="s">
        <v>25</v>
      </c>
      <c r="B10" s="183">
        <v>140</v>
      </c>
      <c r="C10" s="184">
        <v>180</v>
      </c>
      <c r="D10" s="51" t="s">
        <v>144</v>
      </c>
      <c r="E10">
        <v>25</v>
      </c>
    </row>
    <row r="11" spans="1:5" ht="12.7" x14ac:dyDescent="0.4">
      <c r="A11" s="178" t="s">
        <v>145</v>
      </c>
      <c r="B11" s="183">
        <v>115</v>
      </c>
      <c r="C11" s="184">
        <v>130</v>
      </c>
      <c r="D11" s="51" t="s">
        <v>146</v>
      </c>
      <c r="E11">
        <f>AVERAGE(90,150)</f>
        <v>120</v>
      </c>
    </row>
    <row r="12" spans="1:5" ht="12.7" x14ac:dyDescent="0.4">
      <c r="A12" s="178" t="s">
        <v>29</v>
      </c>
      <c r="B12" s="183">
        <v>115</v>
      </c>
      <c r="C12" s="183">
        <v>130</v>
      </c>
      <c r="D12" s="51" t="s">
        <v>147</v>
      </c>
      <c r="E12">
        <v>10</v>
      </c>
    </row>
    <row r="13" spans="1:5" ht="25.35" x14ac:dyDescent="0.4">
      <c r="A13" s="178" t="s">
        <v>31</v>
      </c>
      <c r="B13" s="183">
        <v>90</v>
      </c>
      <c r="C13" s="185">
        <v>100</v>
      </c>
      <c r="D13" s="51" t="s">
        <v>148</v>
      </c>
      <c r="E13">
        <v>150</v>
      </c>
    </row>
    <row r="14" spans="1:5" ht="12.7" x14ac:dyDescent="0.4">
      <c r="A14" s="178" t="s">
        <v>33</v>
      </c>
      <c r="B14" s="183">
        <v>120</v>
      </c>
      <c r="C14" s="177"/>
      <c r="D14" s="51" t="s">
        <v>149</v>
      </c>
      <c r="E14" s="52" t="s">
        <v>150</v>
      </c>
    </row>
    <row r="15" spans="1:5" x14ac:dyDescent="0.35">
      <c r="A15" s="178" t="s">
        <v>64</v>
      </c>
      <c r="B15" s="185">
        <v>75</v>
      </c>
      <c r="C15" s="185">
        <v>100</v>
      </c>
    </row>
    <row r="16" spans="1:5" ht="12.7" x14ac:dyDescent="0.4">
      <c r="A16" s="178" t="s">
        <v>65</v>
      </c>
      <c r="B16" s="183">
        <v>140</v>
      </c>
      <c r="C16" s="183">
        <v>175</v>
      </c>
      <c r="D16" s="51" t="s">
        <v>18</v>
      </c>
      <c r="E16">
        <v>90</v>
      </c>
    </row>
    <row r="17" spans="1:5" ht="25.35" x14ac:dyDescent="0.4">
      <c r="A17" s="178" t="s">
        <v>35</v>
      </c>
      <c r="B17" s="183">
        <v>85</v>
      </c>
      <c r="C17" s="183">
        <v>100</v>
      </c>
      <c r="D17" s="51" t="s">
        <v>20</v>
      </c>
      <c r="E17">
        <v>150</v>
      </c>
    </row>
    <row r="18" spans="1:5" ht="12.7" x14ac:dyDescent="0.4">
      <c r="A18" s="179" t="s">
        <v>37</v>
      </c>
      <c r="B18" s="183">
        <v>90</v>
      </c>
      <c r="C18" s="185">
        <v>125</v>
      </c>
      <c r="D18" s="51" t="s">
        <v>22</v>
      </c>
      <c r="E18">
        <v>10</v>
      </c>
    </row>
    <row r="19" spans="1:5" ht="12.7" x14ac:dyDescent="0.4">
      <c r="A19" s="178" t="s">
        <v>14</v>
      </c>
      <c r="B19" s="183">
        <v>115</v>
      </c>
      <c r="C19" s="185">
        <v>130</v>
      </c>
      <c r="D19" s="51" t="s">
        <v>24</v>
      </c>
      <c r="E19">
        <v>120</v>
      </c>
    </row>
    <row r="20" spans="1:5" ht="38" x14ac:dyDescent="0.4">
      <c r="A20" s="178" t="s">
        <v>39</v>
      </c>
      <c r="B20" s="183">
        <v>115</v>
      </c>
      <c r="C20" s="177">
        <v>130</v>
      </c>
      <c r="D20" s="51" t="s">
        <v>26</v>
      </c>
      <c r="E20">
        <v>80</v>
      </c>
    </row>
    <row r="21" spans="1:5" ht="25.35" x14ac:dyDescent="0.4">
      <c r="A21" s="178" t="s">
        <v>41</v>
      </c>
      <c r="B21" s="183">
        <v>115</v>
      </c>
      <c r="C21" s="183">
        <v>130</v>
      </c>
      <c r="D21" s="51" t="s">
        <v>28</v>
      </c>
      <c r="E21">
        <v>50</v>
      </c>
    </row>
    <row r="22" spans="1:5" ht="12.7" x14ac:dyDescent="0.4">
      <c r="A22" s="180" t="s">
        <v>151</v>
      </c>
      <c r="B22" s="183">
        <v>140</v>
      </c>
      <c r="C22" s="183">
        <v>150</v>
      </c>
      <c r="D22" s="51" t="s">
        <v>30</v>
      </c>
      <c r="E22">
        <v>10</v>
      </c>
    </row>
    <row r="23" spans="1:5" ht="12.7" x14ac:dyDescent="0.4">
      <c r="A23" s="179" t="s">
        <v>43</v>
      </c>
      <c r="B23" s="183">
        <v>115</v>
      </c>
      <c r="C23" s="183">
        <v>130</v>
      </c>
      <c r="D23" s="51" t="s">
        <v>32</v>
      </c>
      <c r="E23" t="s">
        <v>152</v>
      </c>
    </row>
    <row r="24" spans="1:5" ht="25.35" x14ac:dyDescent="0.4">
      <c r="A24" s="178" t="s">
        <v>44</v>
      </c>
      <c r="B24" s="183">
        <v>115</v>
      </c>
      <c r="C24" s="183">
        <v>130</v>
      </c>
      <c r="D24" s="51" t="s">
        <v>34</v>
      </c>
      <c r="E24">
        <v>50</v>
      </c>
    </row>
    <row r="25" spans="1:5" ht="38" x14ac:dyDescent="0.4">
      <c r="A25" s="178" t="s">
        <v>45</v>
      </c>
      <c r="B25" s="183">
        <v>60</v>
      </c>
      <c r="C25" s="186">
        <v>75</v>
      </c>
      <c r="D25" s="51" t="s">
        <v>36</v>
      </c>
      <c r="E25">
        <v>110</v>
      </c>
    </row>
    <row r="26" spans="1:5" ht="12.7" x14ac:dyDescent="0.4">
      <c r="A26" s="178" t="s">
        <v>46</v>
      </c>
      <c r="B26" s="183">
        <v>140</v>
      </c>
      <c r="C26" s="177">
        <v>150</v>
      </c>
      <c r="D26" s="51" t="s">
        <v>38</v>
      </c>
      <c r="E26">
        <v>25</v>
      </c>
    </row>
    <row r="27" spans="1:5" ht="12.7" x14ac:dyDescent="0.4">
      <c r="A27" s="178" t="s">
        <v>47</v>
      </c>
      <c r="B27" s="183">
        <v>150</v>
      </c>
      <c r="C27" s="185">
        <v>180</v>
      </c>
      <c r="D27" s="51" t="s">
        <v>40</v>
      </c>
      <c r="E27">
        <v>25</v>
      </c>
    </row>
    <row r="28" spans="1:5" ht="12.7" x14ac:dyDescent="0.4">
      <c r="A28" s="179" t="s">
        <v>48</v>
      </c>
      <c r="B28" s="183">
        <v>125</v>
      </c>
      <c r="C28" s="183">
        <v>140</v>
      </c>
      <c r="D28" s="51" t="s">
        <v>42</v>
      </c>
      <c r="E28">
        <v>100</v>
      </c>
    </row>
    <row r="29" spans="1:5" ht="12.7" x14ac:dyDescent="0.4">
      <c r="A29" s="178" t="s">
        <v>49</v>
      </c>
      <c r="B29" s="183">
        <v>50</v>
      </c>
      <c r="C29" s="177"/>
      <c r="D29" s="51" t="s">
        <v>153</v>
      </c>
      <c r="E29">
        <v>0</v>
      </c>
    </row>
    <row r="30" spans="1:5" ht="20.7" x14ac:dyDescent="0.35">
      <c r="A30" s="178" t="s">
        <v>66</v>
      </c>
      <c r="B30" s="183">
        <v>0</v>
      </c>
      <c r="C30" s="183">
        <v>30</v>
      </c>
    </row>
    <row r="31" spans="1:5" ht="20.7" x14ac:dyDescent="0.35">
      <c r="A31" s="178" t="s">
        <v>66</v>
      </c>
      <c r="B31" s="183">
        <v>30</v>
      </c>
      <c r="C31" s="196"/>
    </row>
    <row r="32" spans="1:5" x14ac:dyDescent="0.35">
      <c r="A32" s="178" t="s">
        <v>50</v>
      </c>
      <c r="B32" s="183">
        <v>50</v>
      </c>
      <c r="C32" s="197"/>
    </row>
    <row r="33" spans="1:3" x14ac:dyDescent="0.35">
      <c r="A33" s="178" t="s">
        <v>50</v>
      </c>
      <c r="B33" s="184"/>
      <c r="C33" s="196"/>
    </row>
    <row r="34" spans="1:3" x14ac:dyDescent="0.35">
      <c r="A34" s="178" t="s">
        <v>51</v>
      </c>
      <c r="B34" s="183">
        <v>50</v>
      </c>
      <c r="C34" s="184"/>
    </row>
    <row r="35" spans="1:3" x14ac:dyDescent="0.35">
      <c r="A35" s="178" t="s">
        <v>51</v>
      </c>
      <c r="B35" s="184"/>
      <c r="C35" s="196"/>
    </row>
    <row r="36" spans="1:3" x14ac:dyDescent="0.35">
      <c r="A36" s="178" t="s">
        <v>58</v>
      </c>
      <c r="B36" s="183">
        <v>50</v>
      </c>
      <c r="C36" s="177"/>
    </row>
    <row r="37" spans="1:3" x14ac:dyDescent="0.35">
      <c r="A37" s="178" t="s">
        <v>52</v>
      </c>
      <c r="B37" s="183">
        <v>100</v>
      </c>
      <c r="C37" s="183">
        <v>110</v>
      </c>
    </row>
    <row r="38" spans="1:3" x14ac:dyDescent="0.35">
      <c r="A38" s="181" t="s">
        <v>54</v>
      </c>
      <c r="B38" s="183">
        <v>115</v>
      </c>
      <c r="C38" s="185">
        <v>130</v>
      </c>
    </row>
    <row r="39" spans="1:3" ht="20.7" x14ac:dyDescent="0.35">
      <c r="A39" s="178" t="s">
        <v>68</v>
      </c>
      <c r="B39" s="183">
        <v>50</v>
      </c>
      <c r="C39" s="183"/>
    </row>
    <row r="40" spans="1:3" x14ac:dyDescent="0.35">
      <c r="A40" s="178" t="s">
        <v>69</v>
      </c>
      <c r="B40" s="183">
        <v>30</v>
      </c>
      <c r="C40" s="196"/>
    </row>
    <row r="41" spans="1:3" x14ac:dyDescent="0.35">
      <c r="A41" s="179" t="s">
        <v>55</v>
      </c>
      <c r="B41" s="183">
        <v>110</v>
      </c>
      <c r="C41" s="183">
        <v>120</v>
      </c>
    </row>
    <row r="42" spans="1:3" x14ac:dyDescent="0.35">
      <c r="A42" s="181" t="s">
        <v>56</v>
      </c>
      <c r="B42" s="186">
        <v>120</v>
      </c>
      <c r="C42" s="185">
        <v>140</v>
      </c>
    </row>
    <row r="43" spans="1:3" x14ac:dyDescent="0.35">
      <c r="A43" s="178" t="s">
        <v>53</v>
      </c>
      <c r="B43" s="185">
        <v>60</v>
      </c>
      <c r="C43" s="185">
        <v>75</v>
      </c>
    </row>
    <row r="44" spans="1:3" x14ac:dyDescent="0.35">
      <c r="A44" s="179" t="s">
        <v>57</v>
      </c>
      <c r="B44" s="183">
        <v>150</v>
      </c>
      <c r="C44" s="185">
        <v>160</v>
      </c>
    </row>
    <row r="45" spans="1:3" x14ac:dyDescent="0.35">
      <c r="A45" s="178" t="s">
        <v>59</v>
      </c>
      <c r="B45" s="183">
        <v>115</v>
      </c>
      <c r="C45" s="185">
        <v>130</v>
      </c>
    </row>
  </sheetData>
  <sortState xmlns:xlrd2="http://schemas.microsoft.com/office/spreadsheetml/2017/richdata2" ref="A2:C45">
    <sortCondition ref="A2:A45"/>
  </sortState>
  <phoneticPr fontId="6" type="noConversion"/>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J38"/>
  <sheetViews>
    <sheetView showGridLines="0" view="pageLayout" zoomScale="80" zoomScaleNormal="100" zoomScalePageLayoutView="80" workbookViewId="0">
      <selection activeCell="D2" sqref="D2:E2"/>
    </sheetView>
  </sheetViews>
  <sheetFormatPr defaultColWidth="11" defaultRowHeight="12.35" x14ac:dyDescent="0.35"/>
  <cols>
    <col min="1" max="1" width="20.62890625" style="1" customWidth="1"/>
    <col min="2" max="2" width="7.47265625" style="92" customWidth="1"/>
    <col min="3" max="4" width="9.1015625" style="92" customWidth="1"/>
    <col min="5" max="5" width="9.26171875" style="92" customWidth="1"/>
    <col min="6" max="6" width="7.3671875" style="92" customWidth="1"/>
    <col min="7" max="7" width="5.734375" style="92" customWidth="1"/>
    <col min="8" max="8" width="14" style="6" customWidth="1"/>
    <col min="9" max="9" width="12" style="91" customWidth="1"/>
    <col min="10" max="10" width="10.26171875" style="91" customWidth="1"/>
  </cols>
  <sheetData>
    <row r="1" spans="1:10" ht="59.1" customHeight="1" thickBot="1" x14ac:dyDescent="0.4">
      <c r="A1" s="354" t="s">
        <v>154</v>
      </c>
      <c r="B1" s="355"/>
      <c r="C1" s="355"/>
      <c r="D1" s="355"/>
      <c r="E1" s="355"/>
      <c r="F1" s="355"/>
      <c r="G1" s="355"/>
      <c r="H1" s="355"/>
      <c r="I1" s="355"/>
      <c r="J1" s="356"/>
    </row>
    <row r="2" spans="1:10" ht="48" customHeight="1" x14ac:dyDescent="0.35">
      <c r="A2" s="357" t="s">
        <v>155</v>
      </c>
      <c r="B2" s="358"/>
      <c r="C2" s="358"/>
      <c r="D2" s="359" t="s">
        <v>156</v>
      </c>
      <c r="E2" s="360"/>
      <c r="F2" s="134"/>
      <c r="G2" s="133"/>
      <c r="H2" s="133"/>
      <c r="I2" s="133"/>
      <c r="J2" s="133"/>
    </row>
    <row r="3" spans="1:10" ht="40.5" customHeight="1" thickBot="1" x14ac:dyDescent="0.4">
      <c r="A3" s="361" t="s">
        <v>157</v>
      </c>
      <c r="B3" s="362"/>
      <c r="C3" s="157" t="e">
        <f>'STEP 3--Nutrient Needs'!C11</f>
        <v>#N/A</v>
      </c>
      <c r="D3" s="267" t="s">
        <v>158</v>
      </c>
      <c r="E3" s="133"/>
      <c r="F3"/>
      <c r="G3" s="133"/>
      <c r="H3" s="133"/>
      <c r="I3" s="133"/>
      <c r="J3" s="133"/>
    </row>
    <row r="4" spans="1:10" ht="24.6" customHeight="1" x14ac:dyDescent="0.35">
      <c r="A4" s="154"/>
      <c r="B4" s="155"/>
      <c r="C4" s="156"/>
      <c r="D4" s="135"/>
      <c r="E4" s="133"/>
      <c r="F4"/>
      <c r="G4" s="133"/>
      <c r="H4" s="133"/>
      <c r="I4" s="133"/>
      <c r="J4" s="133"/>
    </row>
    <row r="5" spans="1:10" ht="24.6" customHeight="1" x14ac:dyDescent="0.5">
      <c r="A5" s="363" t="s">
        <v>159</v>
      </c>
      <c r="B5" s="364"/>
      <c r="C5" s="364"/>
      <c r="D5" s="364"/>
      <c r="E5" s="364"/>
      <c r="F5" s="364"/>
      <c r="G5" s="364"/>
      <c r="H5" s="364"/>
      <c r="I5" s="364"/>
      <c r="J5" s="364"/>
    </row>
    <row r="6" spans="1:10" s="49" customFormat="1" ht="65.25" customHeight="1" x14ac:dyDescent="0.35">
      <c r="A6" s="268" t="s">
        <v>160</v>
      </c>
      <c r="B6" s="268" t="str">
        <f>'Appendix--Fertilizer Costs'!B1</f>
        <v>% N</v>
      </c>
      <c r="C6" s="268" t="str">
        <f>'Appendix--Fertilizer Costs'!C1</f>
        <v>% P2O5</v>
      </c>
      <c r="D6" s="268" t="str">
        <f>'Appendix--Fertilizer Costs'!D1</f>
        <v>% K20</v>
      </c>
      <c r="E6" s="268" t="str">
        <f>'Appendix--Fertilizer Costs'!E1</f>
        <v>% Ca</v>
      </c>
      <c r="F6" s="268" t="str">
        <f>'Appendix--Fertilizer Costs'!F1</f>
        <v>% Mg</v>
      </c>
      <c r="G6" s="268" t="str">
        <f>'Appendix--Fertilizer Costs'!G1</f>
        <v>% S</v>
      </c>
      <c r="H6" s="268" t="str">
        <f>'Appendix--Fertilizer Costs'!H1</f>
        <v>Release Rate</v>
      </c>
      <c r="I6" s="268" t="str">
        <f>'Appendix--Fertilizer Costs'!I1</f>
        <v>Price per 50 lb</v>
      </c>
      <c r="J6" s="268" t="str">
        <f>'Appendix--Fertilizer Costs'!J1</f>
        <v>$/lb N</v>
      </c>
    </row>
    <row r="7" spans="1:10" ht="18.75" customHeight="1" x14ac:dyDescent="0.35">
      <c r="A7" s="169" t="str">
        <f>'N lookup'!A2</f>
        <v>Alfalfa meal</v>
      </c>
      <c r="B7" s="269">
        <f>'N lookup'!B2</f>
        <v>0.03</v>
      </c>
      <c r="C7" s="269">
        <f>'N lookup'!C2</f>
        <v>5.0000000000000001E-3</v>
      </c>
      <c r="D7" s="269">
        <f>'N lookup'!D2</f>
        <v>2.5000000000000001E-2</v>
      </c>
      <c r="E7" s="269">
        <f>'N lookup'!E2</f>
        <v>0</v>
      </c>
      <c r="F7" s="269">
        <f>'N lookup'!F2</f>
        <v>0</v>
      </c>
      <c r="G7" s="269">
        <f>'N lookup'!G2</f>
        <v>0</v>
      </c>
      <c r="H7" s="170" t="str">
        <f>'N lookup'!H2</f>
        <v>slow/ med</v>
      </c>
      <c r="I7" s="270">
        <f>'N lookup'!I2</f>
        <v>31.06</v>
      </c>
      <c r="J7" s="270">
        <f>'N lookup'!J2</f>
        <v>20.706666666666667</v>
      </c>
    </row>
    <row r="8" spans="1:10" ht="13.7" x14ac:dyDescent="0.35">
      <c r="A8" s="271" t="str">
        <f>'N lookup'!A3</f>
        <v>Azomite</v>
      </c>
      <c r="B8" s="269">
        <f>'N lookup'!B3</f>
        <v>0</v>
      </c>
      <c r="C8" s="269">
        <f>'N lookup'!C3</f>
        <v>0</v>
      </c>
      <c r="D8" s="269">
        <f>'N lookup'!D3</f>
        <v>0</v>
      </c>
      <c r="E8" s="269">
        <f>'N lookup'!E3</f>
        <v>0</v>
      </c>
      <c r="F8" s="269">
        <f>'N lookup'!F3</f>
        <v>0</v>
      </c>
      <c r="G8" s="269">
        <f>'N lookup'!G3</f>
        <v>0</v>
      </c>
      <c r="H8" s="170">
        <f>'N lookup'!H3</f>
        <v>0</v>
      </c>
      <c r="I8" s="270">
        <f>'N lookup'!I3</f>
        <v>56.81818181818182</v>
      </c>
      <c r="J8" s="270">
        <f>'N lookup'!J3</f>
        <v>0</v>
      </c>
    </row>
    <row r="9" spans="1:10" ht="13.7" x14ac:dyDescent="0.35">
      <c r="A9" s="169" t="str">
        <f>'N lookup'!A4</f>
        <v>Blood meal</v>
      </c>
      <c r="B9" s="269">
        <f>'N lookup'!B4</f>
        <v>0.13</v>
      </c>
      <c r="C9" s="269">
        <f>'N lookup'!C4</f>
        <v>0</v>
      </c>
      <c r="D9" s="269">
        <f>'N lookup'!D4</f>
        <v>0</v>
      </c>
      <c r="E9" s="269">
        <f>'N lookup'!E4</f>
        <v>0</v>
      </c>
      <c r="F9" s="269">
        <f>'N lookup'!F4</f>
        <v>0</v>
      </c>
      <c r="G9" s="269">
        <f>'N lookup'!G4</f>
        <v>0</v>
      </c>
      <c r="H9" s="170" t="str">
        <f>'N lookup'!H4</f>
        <v>med/ rapid</v>
      </c>
      <c r="I9" s="270">
        <f>'N lookup'!I4</f>
        <v>91.49</v>
      </c>
      <c r="J9" s="270">
        <f>'N lookup'!J4</f>
        <v>14.075384615384614</v>
      </c>
    </row>
    <row r="10" spans="1:10" ht="13.7" x14ac:dyDescent="0.35">
      <c r="A10" s="169" t="str">
        <f>'N lookup'!A5</f>
        <v>Bone char</v>
      </c>
      <c r="B10" s="269">
        <f>'N lookup'!B5</f>
        <v>0</v>
      </c>
      <c r="C10" s="269">
        <f>'N lookup'!C5</f>
        <v>0.16</v>
      </c>
      <c r="D10" s="269">
        <f>'N lookup'!D5</f>
        <v>0</v>
      </c>
      <c r="E10" s="269">
        <f>'N lookup'!E5</f>
        <v>0</v>
      </c>
      <c r="F10" s="269">
        <f>'N lookup'!F5</f>
        <v>0</v>
      </c>
      <c r="G10" s="269">
        <f>'N lookup'!G5</f>
        <v>0</v>
      </c>
      <c r="H10" s="170" t="str">
        <f>'N lookup'!H5</f>
        <v>rapid</v>
      </c>
      <c r="I10" s="270">
        <f>'N lookup'!I5</f>
        <v>47.2</v>
      </c>
      <c r="J10" s="270">
        <f>'N lookup'!J5</f>
        <v>0</v>
      </c>
    </row>
    <row r="11" spans="1:10" ht="13.7" x14ac:dyDescent="0.35">
      <c r="A11" s="271" t="str">
        <f>'N lookup'!A6</f>
        <v>Chilean nitrate</v>
      </c>
      <c r="B11" s="269">
        <f>'N lookup'!B6</f>
        <v>0.15</v>
      </c>
      <c r="C11" s="269">
        <f>'N lookup'!C6</f>
        <v>0</v>
      </c>
      <c r="D11" s="269">
        <f>'N lookup'!D6</f>
        <v>0.02</v>
      </c>
      <c r="E11" s="269">
        <f>'N lookup'!E6</f>
        <v>0</v>
      </c>
      <c r="F11" s="269">
        <f>'N lookup'!F6</f>
        <v>0</v>
      </c>
      <c r="G11" s="269">
        <f>'N lookup'!G6</f>
        <v>0</v>
      </c>
      <c r="H11" s="170" t="str">
        <f>'N lookup'!H6</f>
        <v>rapid</v>
      </c>
      <c r="I11" s="270">
        <f>'N lookup'!I6</f>
        <v>76.540000000000006</v>
      </c>
      <c r="J11" s="270">
        <f>'N lookup'!J6</f>
        <v>10.205333333333334</v>
      </c>
    </row>
    <row r="12" spans="1:10" ht="41" x14ac:dyDescent="0.35">
      <c r="A12" s="169" t="str">
        <f>'N lookup'!A7</f>
        <v>Dehydrated Poultry Manure (Kreher's 5-4-3)</v>
      </c>
      <c r="B12" s="269">
        <f>'N lookup'!B7</f>
        <v>0.05</v>
      </c>
      <c r="C12" s="269">
        <f>'N lookup'!C7</f>
        <v>0.04</v>
      </c>
      <c r="D12" s="269">
        <f>'N lookup'!D7</f>
        <v>0.03</v>
      </c>
      <c r="E12" s="269">
        <f>'N lookup'!E7</f>
        <v>0.09</v>
      </c>
      <c r="F12" s="269">
        <f>'N lookup'!F7</f>
        <v>0</v>
      </c>
      <c r="G12" s="269">
        <f>'N lookup'!G7</f>
        <v>0</v>
      </c>
      <c r="H12" s="170" t="str">
        <f>'N lookup'!H7</f>
        <v>med</v>
      </c>
      <c r="I12" s="270">
        <f>'N lookup'!I7</f>
        <v>15</v>
      </c>
      <c r="J12" s="270">
        <f>'N lookup'!J7</f>
        <v>6</v>
      </c>
    </row>
    <row r="13" spans="1:10" s="14" customFormat="1" ht="41" x14ac:dyDescent="0.35">
      <c r="A13" s="169" t="str">
        <f>'N lookup'!A8</f>
        <v>Dehydrated Poultry Manure (Kreher's 4-3-10)</v>
      </c>
      <c r="B13" s="269">
        <f>'N lookup'!B8</f>
        <v>0.04</v>
      </c>
      <c r="C13" s="269">
        <f>'N lookup'!C8</f>
        <v>0.03</v>
      </c>
      <c r="D13" s="269">
        <f>'N lookup'!D8</f>
        <v>0.1</v>
      </c>
      <c r="E13" s="269">
        <f>'N lookup'!E8</f>
        <v>0</v>
      </c>
      <c r="F13" s="269">
        <f>'N lookup'!F8</f>
        <v>0</v>
      </c>
      <c r="G13" s="269">
        <f>'N lookup'!G8</f>
        <v>0</v>
      </c>
      <c r="H13" s="170" t="str">
        <f>'N lookup'!H8</f>
        <v>med</v>
      </c>
      <c r="I13" s="270">
        <f>'N lookup'!I8</f>
        <v>22.5</v>
      </c>
      <c r="J13" s="270">
        <f>'N lookup'!J8</f>
        <v>11.25</v>
      </c>
    </row>
    <row r="14" spans="1:10" s="14" customFormat="1" ht="41" x14ac:dyDescent="0.35">
      <c r="A14" s="271" t="str">
        <f>'N lookup'!A9</f>
        <v>Dehydrated Poultry Manure (Kreher's 7-2-6)</v>
      </c>
      <c r="B14" s="269">
        <f>'N lookup'!B9</f>
        <v>7.0000000000000007E-2</v>
      </c>
      <c r="C14" s="269">
        <f>'N lookup'!C9</f>
        <v>0.02</v>
      </c>
      <c r="D14" s="269">
        <f>'N lookup'!D9</f>
        <v>0.06</v>
      </c>
      <c r="E14" s="269">
        <f>'N lookup'!E9</f>
        <v>0</v>
      </c>
      <c r="F14" s="269">
        <f>'N lookup'!F9</f>
        <v>0</v>
      </c>
      <c r="G14" s="269">
        <f>'N lookup'!G9</f>
        <v>0</v>
      </c>
      <c r="H14" s="170" t="str">
        <f>'N lookup'!H9</f>
        <v>med</v>
      </c>
      <c r="I14" s="270">
        <f>'N lookup'!I9</f>
        <v>28.75</v>
      </c>
      <c r="J14" s="270">
        <f>'N lookup'!J9</f>
        <v>8.2142857142857135</v>
      </c>
    </row>
    <row r="15" spans="1:10" s="14" customFormat="1" ht="13.7" x14ac:dyDescent="0.35">
      <c r="A15" s="169" t="str">
        <f>'N lookup'!A10</f>
        <v>Feather meal</v>
      </c>
      <c r="B15" s="269">
        <f>'N lookup'!B10</f>
        <v>0.13</v>
      </c>
      <c r="C15" s="269">
        <f>'N lookup'!C10</f>
        <v>0</v>
      </c>
      <c r="D15" s="269">
        <f>'N lookup'!D10</f>
        <v>0</v>
      </c>
      <c r="E15" s="269">
        <f>'N lookup'!E10</f>
        <v>0</v>
      </c>
      <c r="F15" s="269">
        <f>'N lookup'!F10</f>
        <v>0</v>
      </c>
      <c r="G15" s="269">
        <f>'N lookup'!G10</f>
        <v>0</v>
      </c>
      <c r="H15" s="170" t="str">
        <f>'N lookup'!H10</f>
        <v>med</v>
      </c>
      <c r="I15" s="270">
        <f>'N lookup'!I10</f>
        <v>56.77</v>
      </c>
      <c r="J15" s="270">
        <f>'N lookup'!J10</f>
        <v>8.7338461538461551</v>
      </c>
    </row>
    <row r="16" spans="1:10" s="14" customFormat="1" ht="13.7" x14ac:dyDescent="0.35">
      <c r="A16" s="169" t="str">
        <f>'N lookup'!A11</f>
        <v>Fish emulsion</v>
      </c>
      <c r="B16" s="269">
        <f>'N lookup'!B11</f>
        <v>0.02</v>
      </c>
      <c r="C16" s="269">
        <f>'N lookup'!C11</f>
        <v>0.05</v>
      </c>
      <c r="D16" s="269">
        <f>'N lookup'!D11</f>
        <v>2.0000000000000001E-4</v>
      </c>
      <c r="E16" s="269">
        <f>'N lookup'!E11</f>
        <v>0</v>
      </c>
      <c r="F16" s="269">
        <f>'N lookup'!F11</f>
        <v>0</v>
      </c>
      <c r="G16" s="269">
        <f>'N lookup'!G11</f>
        <v>0</v>
      </c>
      <c r="H16" s="170" t="str">
        <f>'N lookup'!H11</f>
        <v>rapid</v>
      </c>
      <c r="I16" s="270">
        <f>'N lookup'!I11</f>
        <v>109</v>
      </c>
      <c r="J16" s="270">
        <f>'N lookup'!J11</f>
        <v>0</v>
      </c>
    </row>
    <row r="17" spans="1:10" s="14" customFormat="1" ht="13.7" x14ac:dyDescent="0.35">
      <c r="A17" s="169" t="str">
        <f>'N lookup'!A12</f>
        <v>Fish meal</v>
      </c>
      <c r="B17" s="269">
        <f>'N lookup'!B12</f>
        <v>6.7000000000000004E-2</v>
      </c>
      <c r="C17" s="269">
        <f>'N lookup'!C12</f>
        <v>0.11</v>
      </c>
      <c r="D17" s="269">
        <f>'N lookup'!D12</f>
        <v>4.0000000000000001E-3</v>
      </c>
      <c r="E17" s="269">
        <f>'N lookup'!E12</f>
        <v>0</v>
      </c>
      <c r="F17" s="269">
        <f>'N lookup'!F12</f>
        <v>0</v>
      </c>
      <c r="G17" s="269">
        <f>'N lookup'!G12</f>
        <v>0</v>
      </c>
      <c r="H17" s="170" t="str">
        <f>'N lookup'!H12</f>
        <v>med</v>
      </c>
      <c r="I17" s="270">
        <f>'N lookup'!I12</f>
        <v>112</v>
      </c>
      <c r="J17" s="270">
        <f>'N lookup'!J12</f>
        <v>33.432835820895519</v>
      </c>
    </row>
    <row r="18" spans="1:10" ht="27.35" x14ac:dyDescent="0.35">
      <c r="A18" s="169" t="str">
        <f>'N lookup'!A13</f>
        <v>Grioux's Composted Poultry Manure</v>
      </c>
      <c r="B18" s="269">
        <f>'N lookup'!B13</f>
        <v>0.02</v>
      </c>
      <c r="C18" s="269">
        <f>'N lookup'!C13</f>
        <v>0.03</v>
      </c>
      <c r="D18" s="269">
        <f>'N lookup'!D13</f>
        <v>1.4999999999999999E-2</v>
      </c>
      <c r="E18" s="269">
        <f>'N lookup'!E13</f>
        <v>7.0000000000000007E-2</v>
      </c>
      <c r="F18" s="269">
        <f>'N lookup'!F13</f>
        <v>0.01</v>
      </c>
      <c r="G18" s="269">
        <f>'N lookup'!G13</f>
        <v>0.05</v>
      </c>
      <c r="H18" s="170" t="str">
        <f>'N lookup'!H13</f>
        <v>med</v>
      </c>
      <c r="I18" s="270">
        <f>'N lookup'!I13</f>
        <v>1</v>
      </c>
      <c r="J18" s="270">
        <f>'N lookup'!J13</f>
        <v>1</v>
      </c>
    </row>
    <row r="19" spans="1:10" ht="13.7" x14ac:dyDescent="0.35">
      <c r="A19" s="169" t="str">
        <f>'N lookup'!A14</f>
        <v>Giroux's pellets</v>
      </c>
      <c r="B19" s="173">
        <f>'N lookup'!B14</f>
        <v>0.04</v>
      </c>
      <c r="C19" s="173">
        <f>'N lookup'!C14</f>
        <v>0.03</v>
      </c>
      <c r="D19" s="173">
        <f>'N lookup'!D14</f>
        <v>0.02</v>
      </c>
      <c r="E19" s="173">
        <f>'N lookup'!E14</f>
        <v>0</v>
      </c>
      <c r="F19" s="173">
        <f>'N lookup'!F14</f>
        <v>0</v>
      </c>
      <c r="G19" s="173">
        <f>'N lookup'!G14</f>
        <v>0</v>
      </c>
      <c r="H19" s="170" t="str">
        <f>'N lookup'!H14</f>
        <v>med</v>
      </c>
      <c r="I19" s="174">
        <f>'N lookup'!I14</f>
        <v>8.3000000000000007</v>
      </c>
      <c r="J19" s="174">
        <f>'N lookup'!J14</f>
        <v>4.1500000000000004</v>
      </c>
    </row>
    <row r="20" spans="1:10" ht="13.7" x14ac:dyDescent="0.35">
      <c r="A20" s="169" t="str">
        <f>'N lookup'!A15</f>
        <v>Ag-Lime</v>
      </c>
      <c r="B20" s="173">
        <f>'N lookup'!B15</f>
        <v>0</v>
      </c>
      <c r="C20" s="173">
        <f>'N lookup'!C15</f>
        <v>0</v>
      </c>
      <c r="D20" s="173">
        <f>'N lookup'!D15</f>
        <v>0</v>
      </c>
      <c r="E20" s="173">
        <f>'N lookup'!E15</f>
        <v>0</v>
      </c>
      <c r="F20" s="173">
        <f>'N lookup'!F15</f>
        <v>0</v>
      </c>
      <c r="G20" s="173">
        <f>'N lookup'!G15</f>
        <v>0</v>
      </c>
      <c r="H20" s="170">
        <f>'N lookup'!H15</f>
        <v>0</v>
      </c>
      <c r="I20" s="174">
        <f>'N lookup'!I15</f>
        <v>200</v>
      </c>
      <c r="J20" s="174">
        <f>'N lookup'!J15</f>
        <v>0</v>
      </c>
    </row>
    <row r="21" spans="1:10" ht="13.7" x14ac:dyDescent="0.35">
      <c r="A21" s="169" t="str">
        <f>'N lookup'!A16</f>
        <v>Makro 60</v>
      </c>
      <c r="B21" s="269">
        <f>'N lookup'!B16</f>
        <v>0</v>
      </c>
      <c r="C21" s="269">
        <f>'N lookup'!C16</f>
        <v>0</v>
      </c>
      <c r="D21" s="269">
        <f>'N lookup'!D16</f>
        <v>0.6</v>
      </c>
      <c r="E21" s="269">
        <f>'N lookup'!E16</f>
        <v>0</v>
      </c>
      <c r="F21" s="269">
        <f>'N lookup'!F16</f>
        <v>0</v>
      </c>
      <c r="G21" s="269">
        <f>'N lookup'!G16</f>
        <v>0</v>
      </c>
      <c r="H21" s="170">
        <f>'N lookup'!H16</f>
        <v>0</v>
      </c>
      <c r="I21" s="270">
        <f>'N lookup'!I16</f>
        <v>36.25</v>
      </c>
      <c r="J21" s="270">
        <f>'N lookup'!J16</f>
        <v>0</v>
      </c>
    </row>
    <row r="22" spans="1:10" ht="27.35" x14ac:dyDescent="0.35">
      <c r="A22" s="169" t="str">
        <f>'N lookup'!A17</f>
        <v>Organo-Phos w. humic acid</v>
      </c>
      <c r="B22" s="269">
        <f>'N lookup'!B17</f>
        <v>0</v>
      </c>
      <c r="C22" s="269">
        <f>'N lookup'!C17</f>
        <v>0.12</v>
      </c>
      <c r="D22" s="269">
        <f>'N lookup'!D17</f>
        <v>0</v>
      </c>
      <c r="E22" s="269">
        <f>'N lookup'!E17</f>
        <v>0.25</v>
      </c>
      <c r="F22" s="269">
        <f>'N lookup'!F17</f>
        <v>0</v>
      </c>
      <c r="G22" s="269">
        <f>'N lookup'!G17</f>
        <v>0</v>
      </c>
      <c r="H22" s="170">
        <f>'N lookup'!H17</f>
        <v>0</v>
      </c>
      <c r="I22" s="270">
        <f>'N lookup'!I17</f>
        <v>0</v>
      </c>
      <c r="J22" s="270">
        <f>'N lookup'!J17</f>
        <v>0</v>
      </c>
    </row>
    <row r="23" spans="1:10" ht="13.7" x14ac:dyDescent="0.35">
      <c r="A23" s="271" t="str">
        <f>'N lookup'!A18</f>
        <v>Polysulfate</v>
      </c>
      <c r="B23" s="269">
        <f>'N lookup'!B18</f>
        <v>0</v>
      </c>
      <c r="C23" s="269">
        <f>'N lookup'!C18</f>
        <v>0</v>
      </c>
      <c r="D23" s="269">
        <f>'N lookup'!D18</f>
        <v>0.14000000000000001</v>
      </c>
      <c r="E23" s="269">
        <f>'N lookup'!E18</f>
        <v>0.12</v>
      </c>
      <c r="F23" s="269">
        <f>'N lookup'!F18</f>
        <v>3.5999999999999997E-2</v>
      </c>
      <c r="G23" s="269">
        <f>'N lookup'!G18</f>
        <v>0.19</v>
      </c>
      <c r="H23" s="170">
        <f>'N lookup'!H18</f>
        <v>0</v>
      </c>
      <c r="I23" s="270">
        <f>'N lookup'!I18</f>
        <v>20</v>
      </c>
      <c r="J23" s="270">
        <f>'N lookup'!J18</f>
        <v>0</v>
      </c>
    </row>
    <row r="24" spans="1:10" s="14" customFormat="1" ht="13.7" x14ac:dyDescent="0.35">
      <c r="A24" s="272" t="s">
        <v>161</v>
      </c>
      <c r="B24" s="273"/>
      <c r="C24" s="273"/>
      <c r="D24" s="273"/>
      <c r="E24" s="273"/>
      <c r="F24" s="273"/>
      <c r="G24" s="273"/>
      <c r="H24" s="274"/>
      <c r="I24" s="275"/>
      <c r="J24" s="275"/>
    </row>
    <row r="25" spans="1:10" s="14" customFormat="1" ht="13.7" x14ac:dyDescent="0.35">
      <c r="A25" s="169" t="str">
        <f>'N lookup'!A19</f>
        <v>Soybean meal</v>
      </c>
      <c r="B25" s="269">
        <f>'N lookup'!B19</f>
        <v>7.0000000000000007E-2</v>
      </c>
      <c r="C25" s="269">
        <f>'N lookup'!C19</f>
        <v>0.01</v>
      </c>
      <c r="D25" s="269">
        <f>'N lookup'!D19</f>
        <v>0.02</v>
      </c>
      <c r="E25" s="269">
        <f>'N lookup'!E19</f>
        <v>0</v>
      </c>
      <c r="F25" s="269">
        <f>'N lookup'!F19</f>
        <v>0.03</v>
      </c>
      <c r="G25" s="269">
        <f>'N lookup'!G19</f>
        <v>0</v>
      </c>
      <c r="H25" s="170" t="str">
        <f>'N lookup'!H19</f>
        <v>slow/ med</v>
      </c>
      <c r="I25" s="270">
        <f>'N lookup'!I19</f>
        <v>17</v>
      </c>
      <c r="J25" s="270">
        <f>'N lookup'!J19</f>
        <v>4.8571428571428568</v>
      </c>
    </row>
    <row r="26" spans="1:10" s="14" customFormat="1" ht="13.7" x14ac:dyDescent="0.35">
      <c r="A26" s="169" t="str">
        <f>'N lookup'!A20</f>
        <v>Soybean meal, OG</v>
      </c>
      <c r="B26" s="269">
        <f>'N lookup'!B20</f>
        <v>7.0000000000000007E-2</v>
      </c>
      <c r="C26" s="269">
        <f>'N lookup'!C20</f>
        <v>0.01</v>
      </c>
      <c r="D26" s="269">
        <f>'N lookup'!D20</f>
        <v>0.02</v>
      </c>
      <c r="E26" s="269">
        <f>'N lookup'!E20</f>
        <v>0</v>
      </c>
      <c r="F26" s="269">
        <f>'N lookup'!F20</f>
        <v>0</v>
      </c>
      <c r="G26" s="269">
        <f>'N lookup'!G20</f>
        <v>0</v>
      </c>
      <c r="H26" s="170" t="str">
        <f>'N lookup'!H20</f>
        <v>slow/ med</v>
      </c>
      <c r="I26" s="270">
        <f>'N lookup'!I20</f>
        <v>43.6</v>
      </c>
      <c r="J26" s="270">
        <f>'N lookup'!J20</f>
        <v>12.457142857142856</v>
      </c>
    </row>
    <row r="27" spans="1:10" s="14" customFormat="1" ht="13.7" x14ac:dyDescent="0.35">
      <c r="A27" s="169" t="str">
        <f>'N lookup'!A21</f>
        <v>Sulfate of potash</v>
      </c>
      <c r="B27" s="269">
        <f>'N lookup'!B21</f>
        <v>0</v>
      </c>
      <c r="C27" s="269">
        <f>'N lookup'!C21</f>
        <v>0</v>
      </c>
      <c r="D27" s="269">
        <f>'N lookup'!D21</f>
        <v>0.5</v>
      </c>
      <c r="E27" s="269">
        <f>'N lookup'!E21</f>
        <v>0</v>
      </c>
      <c r="F27" s="269">
        <f>'N lookup'!F21</f>
        <v>0</v>
      </c>
      <c r="G27" s="269">
        <f>'N lookup'!G21</f>
        <v>0.17</v>
      </c>
      <c r="H27" s="170" t="str">
        <f>'N lookup'!H21</f>
        <v>rapid</v>
      </c>
      <c r="I27" s="270">
        <f>'N lookup'!I21</f>
        <v>34.14</v>
      </c>
      <c r="J27" s="270">
        <f>'N lookup'!J21</f>
        <v>0</v>
      </c>
    </row>
    <row r="28" spans="1:10" s="14" customFormat="1" ht="13.7" x14ac:dyDescent="0.35">
      <c r="A28" s="169" t="str">
        <f>'N lookup'!A22</f>
        <v>SOP soluble</v>
      </c>
      <c r="B28" s="269">
        <f>'N lookup'!B22</f>
        <v>0</v>
      </c>
      <c r="C28" s="269">
        <f>'N lookup'!C22</f>
        <v>0</v>
      </c>
      <c r="D28" s="269">
        <f>'N lookup'!D22</f>
        <v>0.52</v>
      </c>
      <c r="E28" s="269">
        <f>'N lookup'!E22</f>
        <v>0</v>
      </c>
      <c r="F28" s="269">
        <f>'N lookup'!F22</f>
        <v>0</v>
      </c>
      <c r="G28" s="269">
        <f>'N lookup'!G22</f>
        <v>0</v>
      </c>
      <c r="H28" s="170">
        <f>'N lookup'!H22</f>
        <v>0</v>
      </c>
      <c r="I28" s="270">
        <f>'N lookup'!I22</f>
        <v>54.3</v>
      </c>
      <c r="J28" s="270">
        <f>'N lookup'!J22</f>
        <v>0</v>
      </c>
    </row>
    <row r="29" spans="1:10" s="14" customFormat="1" ht="27.35" x14ac:dyDescent="0.35">
      <c r="A29" s="169" t="str">
        <f>'N lookup'!A23</f>
        <v>Triple super phosphate</v>
      </c>
      <c r="B29" s="269">
        <f>'N lookup'!B23</f>
        <v>0.18</v>
      </c>
      <c r="C29" s="269">
        <f>'N lookup'!C23</f>
        <v>0.46</v>
      </c>
      <c r="D29" s="269">
        <f>'N lookup'!D23</f>
        <v>0</v>
      </c>
      <c r="E29" s="269">
        <f>'N lookup'!E23</f>
        <v>0</v>
      </c>
      <c r="F29" s="269">
        <f>'N lookup'!F23</f>
        <v>0</v>
      </c>
      <c r="G29" s="269">
        <f>'N lookup'!G23</f>
        <v>0</v>
      </c>
      <c r="H29" s="170" t="str">
        <f>'N lookup'!H23</f>
        <v>rapid</v>
      </c>
      <c r="I29" s="270">
        <f>'N lookup'!I23</f>
        <v>24.5</v>
      </c>
      <c r="J29" s="270">
        <f>'N lookup'!J23</f>
        <v>0</v>
      </c>
    </row>
    <row r="30" spans="1:10" s="14" customFormat="1" ht="13.7" x14ac:dyDescent="0.35">
      <c r="A30" s="169" t="str">
        <f>'N lookup'!A24</f>
        <v>Urea</v>
      </c>
      <c r="B30" s="269">
        <f>'N lookup'!B24</f>
        <v>0.46</v>
      </c>
      <c r="C30" s="269">
        <f>'N lookup'!C24</f>
        <v>0</v>
      </c>
      <c r="D30" s="269">
        <f>'N lookup'!D24</f>
        <v>0</v>
      </c>
      <c r="E30" s="269">
        <f>'N lookup'!E24</f>
        <v>0</v>
      </c>
      <c r="F30" s="269">
        <f>'N lookup'!F24</f>
        <v>0</v>
      </c>
      <c r="G30" s="269">
        <f>'N lookup'!G24</f>
        <v>0</v>
      </c>
      <c r="H30" s="170" t="str">
        <f>'N lookup'!H24</f>
        <v>rapid</v>
      </c>
      <c r="I30" s="270">
        <f>'N lookup'!I24</f>
        <v>18.75</v>
      </c>
      <c r="J30" s="270">
        <f>'N lookup'!J24</f>
        <v>0.81521739130434778</v>
      </c>
    </row>
    <row r="31" spans="1:10" s="14" customFormat="1" ht="13.7" x14ac:dyDescent="0.35">
      <c r="A31" s="271" t="s">
        <v>162</v>
      </c>
      <c r="B31" s="276">
        <v>0</v>
      </c>
      <c r="C31" s="276">
        <v>0</v>
      </c>
      <c r="D31" s="276">
        <v>0</v>
      </c>
      <c r="E31" s="276">
        <v>0</v>
      </c>
      <c r="F31" s="276">
        <v>0</v>
      </c>
      <c r="G31" s="276">
        <v>0</v>
      </c>
      <c r="H31" s="277"/>
      <c r="I31" s="278">
        <v>0</v>
      </c>
      <c r="J31" s="278">
        <v>0</v>
      </c>
    </row>
    <row r="32" spans="1:10" s="14" customFormat="1" ht="13.7" x14ac:dyDescent="0.35">
      <c r="A32" s="279" t="s">
        <v>163</v>
      </c>
      <c r="B32" s="280">
        <v>0.1</v>
      </c>
      <c r="C32" s="280">
        <v>0.02</v>
      </c>
      <c r="D32" s="280">
        <v>0.08</v>
      </c>
      <c r="E32" s="280"/>
      <c r="F32" s="280"/>
      <c r="G32" s="280"/>
      <c r="H32" s="281"/>
      <c r="I32" s="282"/>
      <c r="J32" s="283">
        <f>I32/B32/50</f>
        <v>0</v>
      </c>
    </row>
    <row r="33" spans="1:10" s="36" customFormat="1" ht="41.1" customHeight="1" x14ac:dyDescent="0.45">
      <c r="A33" s="56"/>
      <c r="B33" s="53"/>
      <c r="C33" s="53"/>
      <c r="D33" s="53"/>
      <c r="E33" s="53"/>
      <c r="F33" s="53"/>
      <c r="G33" s="53"/>
      <c r="H33" s="54"/>
      <c r="I33" s="55"/>
      <c r="J33" s="55"/>
    </row>
    <row r="34" spans="1:10" s="36" customFormat="1" ht="30.95" customHeight="1" x14ac:dyDescent="0.45">
      <c r="E34" s="88"/>
      <c r="F34" s="88"/>
      <c r="G34" s="88"/>
      <c r="H34" s="89"/>
      <c r="I34" s="90"/>
      <c r="J34" s="90"/>
    </row>
    <row r="35" spans="1:10" s="36" customFormat="1" ht="15.35" x14ac:dyDescent="0.45">
      <c r="E35" s="88"/>
      <c r="F35" s="88"/>
      <c r="G35" s="88"/>
      <c r="H35" s="89"/>
      <c r="I35" s="90"/>
      <c r="J35" s="90"/>
    </row>
    <row r="36" spans="1:10" ht="15.35" x14ac:dyDescent="0.45">
      <c r="A36" s="40"/>
      <c r="B36" s="88"/>
      <c r="C36" s="88"/>
      <c r="D36" s="88"/>
      <c r="E36" s="88"/>
      <c r="F36" s="88"/>
      <c r="G36" s="88"/>
      <c r="H36" s="89"/>
      <c r="I36" s="90"/>
      <c r="J36" s="90"/>
    </row>
    <row r="37" spans="1:10" x14ac:dyDescent="0.35">
      <c r="A37" s="351" t="s">
        <v>164</v>
      </c>
      <c r="B37" s="352"/>
      <c r="C37" s="352"/>
      <c r="D37" s="352"/>
      <c r="E37" s="352"/>
      <c r="F37" s="352"/>
      <c r="G37" s="352"/>
      <c r="H37" s="353"/>
    </row>
    <row r="38" spans="1:10" x14ac:dyDescent="0.35">
      <c r="A38" s="27"/>
    </row>
  </sheetData>
  <mergeCells count="6">
    <mergeCell ref="A37:H37"/>
    <mergeCell ref="A1:J1"/>
    <mergeCell ref="A2:C2"/>
    <mergeCell ref="D2:E2"/>
    <mergeCell ref="A3:B3"/>
    <mergeCell ref="A5:J5"/>
  </mergeCells>
  <phoneticPr fontId="6" type="noConversion"/>
  <dataValidations xWindow="575" yWindow="312" count="1">
    <dataValidation type="list" allowBlank="1" showInputMessage="1" showErrorMessage="1" prompt="Select from menu" sqref="D2" xr:uid="{00000000-0002-0000-0500-000000000000}">
      <formula1>$A$7:$A$32</formula1>
    </dataValidation>
  </dataValidations>
  <pageMargins left="0.75" right="0.75" top="1" bottom="1" header="0.5" footer="0.5"/>
  <pageSetup scale="51" orientation="landscape" horizontalDpi="4294967292" verticalDpi="4294967292" r:id="rId1"/>
  <headerFooter>
    <oddHeader>&amp;L&amp;"Verdana,Bold"&amp;14Choose N Amendments</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50"/>
  <sheetViews>
    <sheetView view="pageLayout" topLeftCell="A7" workbookViewId="0">
      <selection activeCell="I15" sqref="I15"/>
    </sheetView>
  </sheetViews>
  <sheetFormatPr defaultColWidth="11" defaultRowHeight="12.35" x14ac:dyDescent="0.35"/>
  <cols>
    <col min="1" max="1" width="18.26171875" style="1" customWidth="1"/>
    <col min="2" max="2" width="7.47265625" style="2" customWidth="1"/>
    <col min="3" max="3" width="7" style="2" customWidth="1"/>
    <col min="4" max="4" width="6.26171875" style="2" customWidth="1"/>
    <col min="5" max="5" width="5.26171875" style="2" customWidth="1"/>
    <col min="6" max="6" width="4.734375" style="2" customWidth="1"/>
    <col min="7" max="7" width="5.734375" style="2" customWidth="1"/>
    <col min="8" max="8" width="11" customWidth="1"/>
    <col min="9" max="9" width="11" style="14"/>
    <col min="10" max="10" width="9.89453125" style="14" customWidth="1"/>
    <col min="11" max="13" width="11" style="24" customWidth="1"/>
    <col min="14" max="14" width="6.1015625" style="24" customWidth="1"/>
    <col min="15" max="15" width="6.26171875" style="24" customWidth="1"/>
    <col min="16" max="16" width="6.3671875" style="24" customWidth="1"/>
    <col min="17" max="17" width="11" style="15" customWidth="1"/>
    <col min="18" max="18" width="11" customWidth="1"/>
  </cols>
  <sheetData>
    <row r="1" spans="1:18" s="26" customFormat="1" ht="117.95" customHeight="1" x14ac:dyDescent="0.35">
      <c r="A1" s="284" t="s">
        <v>165</v>
      </c>
      <c r="B1" s="285" t="s">
        <v>166</v>
      </c>
      <c r="C1" s="285" t="s">
        <v>167</v>
      </c>
      <c r="D1" s="285" t="s">
        <v>168</v>
      </c>
      <c r="E1" s="285" t="s">
        <v>169</v>
      </c>
      <c r="F1" s="285" t="s">
        <v>170</v>
      </c>
      <c r="G1" s="285" t="s">
        <v>171</v>
      </c>
      <c r="H1" s="286" t="s">
        <v>172</v>
      </c>
      <c r="I1" s="287" t="s">
        <v>173</v>
      </c>
      <c r="J1" s="288" t="s">
        <v>174</v>
      </c>
      <c r="K1" s="289" t="s">
        <v>175</v>
      </c>
      <c r="L1" s="289" t="s">
        <v>176</v>
      </c>
      <c r="M1" s="289" t="s">
        <v>177</v>
      </c>
      <c r="N1" s="289" t="s">
        <v>178</v>
      </c>
      <c r="O1" s="289" t="s">
        <v>179</v>
      </c>
      <c r="P1" s="289" t="s">
        <v>180</v>
      </c>
      <c r="Q1" s="290" t="s">
        <v>181</v>
      </c>
      <c r="R1" s="291" t="s">
        <v>182</v>
      </c>
    </row>
    <row r="2" spans="1:18" x14ac:dyDescent="0.35">
      <c r="A2" s="18" t="str">
        <f>'Appendix--Fertilizer Costs'!A2</f>
        <v>Alfalfa meal</v>
      </c>
      <c r="B2" s="86">
        <f>'Appendix--Fertilizer Costs'!B2</f>
        <v>0.03</v>
      </c>
      <c r="C2" s="86">
        <f>'Appendix--Fertilizer Costs'!C2</f>
        <v>5.0000000000000001E-3</v>
      </c>
      <c r="D2" s="86">
        <f>'Appendix--Fertilizer Costs'!D2</f>
        <v>2.5000000000000001E-2</v>
      </c>
      <c r="E2" s="86">
        <f>'Appendix--Fertilizer Costs'!E2</f>
        <v>0</v>
      </c>
      <c r="F2" s="86">
        <f>'Appendix--Fertilizer Costs'!F2</f>
        <v>0</v>
      </c>
      <c r="G2" s="86">
        <f>'Appendix--Fertilizer Costs'!G2</f>
        <v>0</v>
      </c>
      <c r="H2" s="18" t="str">
        <f>'Appendix--Fertilizer Costs'!H2</f>
        <v>slow/ med</v>
      </c>
      <c r="I2" s="87">
        <f>'Appendix--Fertilizer Costs'!I2</f>
        <v>31.06</v>
      </c>
      <c r="J2" s="87">
        <f>'Appendix--Fertilizer Costs'!J2</f>
        <v>20.706666666666667</v>
      </c>
      <c r="K2" s="24" t="e">
        <f>('STEP 3--Nutrient Needs'!C11/B2)/R2</f>
        <v>#N/A</v>
      </c>
      <c r="L2" s="24" t="e">
        <f>K2*C2</f>
        <v>#N/A</v>
      </c>
      <c r="M2" s="24" t="e">
        <f>K2*D2</f>
        <v>#N/A</v>
      </c>
      <c r="Q2" s="29" t="e">
        <f>K2*J2*B2</f>
        <v>#N/A</v>
      </c>
      <c r="R2">
        <v>0.6</v>
      </c>
    </row>
    <row r="3" spans="1:18" x14ac:dyDescent="0.35">
      <c r="A3" s="18" t="str">
        <f>'Appendix--Fertilizer Costs'!A3</f>
        <v>Azomite</v>
      </c>
      <c r="B3" s="86">
        <f>'Appendix--Fertilizer Costs'!B3</f>
        <v>0</v>
      </c>
      <c r="C3" s="86">
        <f>'Appendix--Fertilizer Costs'!C3</f>
        <v>0</v>
      </c>
      <c r="D3" s="86">
        <f>'Appendix--Fertilizer Costs'!D3</f>
        <v>0</v>
      </c>
      <c r="E3" s="86">
        <f>'Appendix--Fertilizer Costs'!E3</f>
        <v>0</v>
      </c>
      <c r="F3" s="86">
        <f>'Appendix--Fertilizer Costs'!F3</f>
        <v>0</v>
      </c>
      <c r="G3" s="86">
        <f>'Appendix--Fertilizer Costs'!G3</f>
        <v>0</v>
      </c>
      <c r="H3" s="18">
        <f>'Appendix--Fertilizer Costs'!H3</f>
        <v>0</v>
      </c>
      <c r="I3" s="87">
        <f>'Appendix--Fertilizer Costs'!I3</f>
        <v>56.81818181818182</v>
      </c>
      <c r="J3" s="87">
        <f>'Appendix--Fertilizer Costs'!J3</f>
        <v>0</v>
      </c>
      <c r="K3" s="24" t="e">
        <f>('STEP 3--Nutrient Needs'!C11/B3)/R3</f>
        <v>#N/A</v>
      </c>
      <c r="P3" s="24" t="e">
        <f>G3*K3</f>
        <v>#N/A</v>
      </c>
      <c r="Q3" s="28" t="e">
        <f t="shared" ref="Q3:Q13" si="0">K3*B3*J3</f>
        <v>#N/A</v>
      </c>
      <c r="R3">
        <v>1</v>
      </c>
    </row>
    <row r="4" spans="1:18" x14ac:dyDescent="0.35">
      <c r="A4" s="18" t="str">
        <f>'Appendix--Fertilizer Costs'!A4</f>
        <v>Blood meal</v>
      </c>
      <c r="B4" s="86">
        <f>'Appendix--Fertilizer Costs'!B4</f>
        <v>0.13</v>
      </c>
      <c r="C4" s="86">
        <f>'Appendix--Fertilizer Costs'!C4</f>
        <v>0</v>
      </c>
      <c r="D4" s="86">
        <f>'Appendix--Fertilizer Costs'!D4</f>
        <v>0</v>
      </c>
      <c r="E4" s="86">
        <f>'Appendix--Fertilizer Costs'!E4</f>
        <v>0</v>
      </c>
      <c r="F4" s="86">
        <f>'Appendix--Fertilizer Costs'!F4</f>
        <v>0</v>
      </c>
      <c r="G4" s="86">
        <f>'Appendix--Fertilizer Costs'!G4</f>
        <v>0</v>
      </c>
      <c r="H4" s="18" t="str">
        <f>'Appendix--Fertilizer Costs'!H4</f>
        <v>med/ rapid</v>
      </c>
      <c r="I4" s="87">
        <f>'Appendix--Fertilizer Costs'!I4</f>
        <v>91.49</v>
      </c>
      <c r="J4" s="87">
        <f>'Appendix--Fertilizer Costs'!J4</f>
        <v>14.075384615384614</v>
      </c>
      <c r="K4" s="24" t="e">
        <f>('STEP 3--Nutrient Needs'!C11/B4)/R4</f>
        <v>#N/A</v>
      </c>
      <c r="L4" s="24" t="e">
        <f>K4*C4</f>
        <v>#N/A</v>
      </c>
      <c r="M4" s="24" t="e">
        <f>K4*D4</f>
        <v>#N/A</v>
      </c>
      <c r="Q4" s="28" t="e">
        <f t="shared" si="0"/>
        <v>#N/A</v>
      </c>
      <c r="R4">
        <v>0.61</v>
      </c>
    </row>
    <row r="5" spans="1:18" x14ac:dyDescent="0.35">
      <c r="A5" s="18" t="str">
        <f>'Appendix--Fertilizer Costs'!A6</f>
        <v>Bone char</v>
      </c>
      <c r="B5" s="86">
        <f>'Appendix--Fertilizer Costs'!B6</f>
        <v>0</v>
      </c>
      <c r="C5" s="86">
        <f>'Appendix--Fertilizer Costs'!C6</f>
        <v>0.16</v>
      </c>
      <c r="D5" s="86">
        <f>'Appendix--Fertilizer Costs'!D6</f>
        <v>0</v>
      </c>
      <c r="E5" s="86">
        <f>'Appendix--Fertilizer Costs'!E6</f>
        <v>0</v>
      </c>
      <c r="F5" s="86">
        <f>'Appendix--Fertilizer Costs'!F6</f>
        <v>0</v>
      </c>
      <c r="G5" s="86">
        <f>'Appendix--Fertilizer Costs'!G6</f>
        <v>0</v>
      </c>
      <c r="H5" s="18" t="str">
        <f>'Appendix--Fertilizer Costs'!H6</f>
        <v>rapid</v>
      </c>
      <c r="I5" s="87">
        <f>'Appendix--Fertilizer Costs'!I6</f>
        <v>47.2</v>
      </c>
      <c r="J5" s="87">
        <f>'Appendix--Fertilizer Costs'!J6</f>
        <v>0</v>
      </c>
      <c r="K5" s="24" t="e">
        <f>('STEP 3--Nutrient Needs'!C11/B5)/R5</f>
        <v>#N/A</v>
      </c>
      <c r="L5" s="24" t="e">
        <f>K5*C5</f>
        <v>#N/A</v>
      </c>
      <c r="M5" s="24">
        <v>0</v>
      </c>
      <c r="Q5" s="28" t="e">
        <f t="shared" si="0"/>
        <v>#N/A</v>
      </c>
      <c r="R5">
        <v>0.32</v>
      </c>
    </row>
    <row r="6" spans="1:18" x14ac:dyDescent="0.35">
      <c r="A6" s="18" t="str">
        <f>'Appendix--Fertilizer Costs'!A8</f>
        <v>Chilean nitrate</v>
      </c>
      <c r="B6" s="86">
        <f>'Appendix--Fertilizer Costs'!B8</f>
        <v>0.15</v>
      </c>
      <c r="C6" s="86">
        <f>'Appendix--Fertilizer Costs'!C8</f>
        <v>0</v>
      </c>
      <c r="D6" s="86">
        <f>'Appendix--Fertilizer Costs'!D8</f>
        <v>0.02</v>
      </c>
      <c r="E6" s="86">
        <f>'Appendix--Fertilizer Costs'!E8</f>
        <v>0</v>
      </c>
      <c r="F6" s="86">
        <f>'Appendix--Fertilizer Costs'!F8</f>
        <v>0</v>
      </c>
      <c r="G6" s="86">
        <f>'Appendix--Fertilizer Costs'!G8</f>
        <v>0</v>
      </c>
      <c r="H6" s="18" t="str">
        <f>'Appendix--Fertilizer Costs'!H8</f>
        <v>rapid</v>
      </c>
      <c r="I6" s="87">
        <f>'Appendix--Fertilizer Costs'!I8</f>
        <v>76.540000000000006</v>
      </c>
      <c r="J6" s="87">
        <f>'Appendix--Fertilizer Costs'!J8</f>
        <v>10.205333333333334</v>
      </c>
      <c r="K6" s="24" t="e">
        <f>('STEP 3--Nutrient Needs'!C11/B6)/R6</f>
        <v>#N/A</v>
      </c>
      <c r="N6" s="24" t="e">
        <f>K6*E6</f>
        <v>#N/A</v>
      </c>
      <c r="Q6" s="28" t="e">
        <f t="shared" si="0"/>
        <v>#N/A</v>
      </c>
      <c r="R6">
        <v>1</v>
      </c>
    </row>
    <row r="7" spans="1:18" ht="37" x14ac:dyDescent="0.35">
      <c r="A7" s="18" t="str">
        <f>'Appendix--Fertilizer Costs'!A9</f>
        <v>Dehydrated Poultry Manure (Kreher's 5-4-3)</v>
      </c>
      <c r="B7" s="86">
        <f>'Appendix--Fertilizer Costs'!B9</f>
        <v>0.05</v>
      </c>
      <c r="C7" s="86">
        <f>'Appendix--Fertilizer Costs'!C9</f>
        <v>0.04</v>
      </c>
      <c r="D7" s="86">
        <f>'Appendix--Fertilizer Costs'!D9</f>
        <v>0.03</v>
      </c>
      <c r="E7" s="86">
        <f>'Appendix--Fertilizer Costs'!E9</f>
        <v>0.09</v>
      </c>
      <c r="F7" s="86">
        <f>'Appendix--Fertilizer Costs'!F9</f>
        <v>0</v>
      </c>
      <c r="G7" s="86">
        <f>'Appendix--Fertilizer Costs'!G9</f>
        <v>0</v>
      </c>
      <c r="H7" s="18" t="str">
        <f>'Appendix--Fertilizer Costs'!H9</f>
        <v>med</v>
      </c>
      <c r="I7" s="87">
        <f>'Appendix--Fertilizer Costs'!I9</f>
        <v>15</v>
      </c>
      <c r="J7" s="87">
        <f>'Appendix--Fertilizer Costs'!J9</f>
        <v>6</v>
      </c>
      <c r="K7" s="24" t="e">
        <f>('STEP 3--Nutrient Needs'!C11/B7)/R7</f>
        <v>#N/A</v>
      </c>
      <c r="Q7" s="28" t="e">
        <f t="shared" si="0"/>
        <v>#N/A</v>
      </c>
      <c r="R7">
        <v>1</v>
      </c>
    </row>
    <row r="8" spans="1:18" s="14" customFormat="1" ht="37" x14ac:dyDescent="0.35">
      <c r="A8" s="18" t="str">
        <f>'Appendix--Fertilizer Costs'!A10</f>
        <v>Dehydrated Poultry Manure (Kreher's 4-3-10)</v>
      </c>
      <c r="B8" s="86">
        <f>'Appendix--Fertilizer Costs'!B10</f>
        <v>0.04</v>
      </c>
      <c r="C8" s="86">
        <f>'Appendix--Fertilizer Costs'!C10</f>
        <v>0.03</v>
      </c>
      <c r="D8" s="86">
        <f>'Appendix--Fertilizer Costs'!D10</f>
        <v>0.1</v>
      </c>
      <c r="E8" s="86">
        <f>'Appendix--Fertilizer Costs'!E10</f>
        <v>0</v>
      </c>
      <c r="F8" s="86">
        <f>'Appendix--Fertilizer Costs'!F10</f>
        <v>0</v>
      </c>
      <c r="G8" s="86">
        <f>'Appendix--Fertilizer Costs'!G10</f>
        <v>0</v>
      </c>
      <c r="H8" s="18" t="str">
        <f>'Appendix--Fertilizer Costs'!H10</f>
        <v>med</v>
      </c>
      <c r="I8" s="87">
        <f>'Appendix--Fertilizer Costs'!I10</f>
        <v>22.5</v>
      </c>
      <c r="J8" s="87">
        <f>'Appendix--Fertilizer Costs'!J10</f>
        <v>11.25</v>
      </c>
      <c r="K8" s="24" t="e">
        <f>('STEP 3--Nutrient Needs'!C11/B8)/R8</f>
        <v>#N/A</v>
      </c>
      <c r="L8" s="24" t="e">
        <f>K8*C8</f>
        <v>#N/A</v>
      </c>
      <c r="M8" s="24" t="e">
        <f>K8*D8</f>
        <v>#N/A</v>
      </c>
      <c r="N8" s="24" t="e">
        <f>K8*E8</f>
        <v>#N/A</v>
      </c>
      <c r="O8" s="24" t="e">
        <f>F8*K8</f>
        <v>#N/A</v>
      </c>
      <c r="P8" s="24" t="e">
        <f>G8*K8</f>
        <v>#N/A</v>
      </c>
      <c r="Q8" s="28" t="e">
        <f t="shared" si="0"/>
        <v>#N/A</v>
      </c>
      <c r="R8" s="25">
        <v>0.6</v>
      </c>
    </row>
    <row r="9" spans="1:18" s="14" customFormat="1" ht="37" x14ac:dyDescent="0.35">
      <c r="A9" s="18" t="str">
        <f>'Appendix--Fertilizer Costs'!A11</f>
        <v>Dehydrated Poultry Manure (Kreher's 7-2-6)</v>
      </c>
      <c r="B9" s="86">
        <f>'Appendix--Fertilizer Costs'!B11</f>
        <v>7.0000000000000007E-2</v>
      </c>
      <c r="C9" s="86">
        <f>'Appendix--Fertilizer Costs'!C11</f>
        <v>0.02</v>
      </c>
      <c r="D9" s="86">
        <f>'Appendix--Fertilizer Costs'!D11</f>
        <v>0.06</v>
      </c>
      <c r="E9" s="86">
        <f>'Appendix--Fertilizer Costs'!E11</f>
        <v>0</v>
      </c>
      <c r="F9" s="86">
        <f>'Appendix--Fertilizer Costs'!F11</f>
        <v>0</v>
      </c>
      <c r="G9" s="86">
        <f>'Appendix--Fertilizer Costs'!G11</f>
        <v>0</v>
      </c>
      <c r="H9" s="18" t="str">
        <f>'Appendix--Fertilizer Costs'!H11</f>
        <v>med</v>
      </c>
      <c r="I9" s="87">
        <f>'Appendix--Fertilizer Costs'!I11</f>
        <v>28.75</v>
      </c>
      <c r="J9" s="87">
        <f>'Appendix--Fertilizer Costs'!J11</f>
        <v>8.2142857142857135</v>
      </c>
      <c r="K9" s="24" t="e">
        <f>('STEP 3--Nutrient Needs'!C11/B9)/R9</f>
        <v>#N/A</v>
      </c>
      <c r="L9" s="24" t="e">
        <f>K9*C9</f>
        <v>#N/A</v>
      </c>
      <c r="M9" s="24" t="e">
        <f>K9*D9</f>
        <v>#N/A</v>
      </c>
      <c r="N9" s="24" t="e">
        <f>K9*E9</f>
        <v>#N/A</v>
      </c>
      <c r="O9" s="24" t="e">
        <f>F9*K9</f>
        <v>#N/A</v>
      </c>
      <c r="P9" s="24" t="e">
        <f>G9*K9</f>
        <v>#N/A</v>
      </c>
      <c r="Q9" s="28" t="e">
        <f t="shared" si="0"/>
        <v>#N/A</v>
      </c>
      <c r="R9" s="25">
        <v>0.6</v>
      </c>
    </row>
    <row r="10" spans="1:18" s="14" customFormat="1" x14ac:dyDescent="0.35">
      <c r="A10" s="18" t="str">
        <f>'Appendix--Fertilizer Costs'!A16</f>
        <v>Feather meal</v>
      </c>
      <c r="B10" s="86">
        <f>'Appendix--Fertilizer Costs'!B16</f>
        <v>0.13</v>
      </c>
      <c r="C10" s="86">
        <f>'Appendix--Fertilizer Costs'!C16</f>
        <v>0</v>
      </c>
      <c r="D10" s="86">
        <f>'Appendix--Fertilizer Costs'!D16</f>
        <v>0</v>
      </c>
      <c r="E10" s="86">
        <f>'Appendix--Fertilizer Costs'!E16</f>
        <v>0</v>
      </c>
      <c r="F10" s="86">
        <f>'Appendix--Fertilizer Costs'!F16</f>
        <v>0</v>
      </c>
      <c r="G10" s="86">
        <f>'Appendix--Fertilizer Costs'!G16</f>
        <v>0</v>
      </c>
      <c r="H10" s="18" t="str">
        <f>'Appendix--Fertilizer Costs'!H16</f>
        <v>med</v>
      </c>
      <c r="I10" s="87">
        <f>'Appendix--Fertilizer Costs'!I16</f>
        <v>56.77</v>
      </c>
      <c r="J10" s="87">
        <f>'Appendix--Fertilizer Costs'!J16</f>
        <v>8.7338461538461551</v>
      </c>
      <c r="K10" s="24" t="e">
        <f>('STEP 3--Nutrient Needs'!C11/B10)/R10</f>
        <v>#N/A</v>
      </c>
      <c r="L10" s="24"/>
      <c r="M10" s="24"/>
      <c r="N10" s="24"/>
      <c r="O10" s="24"/>
      <c r="P10" s="24"/>
      <c r="Q10" s="28" t="e">
        <f t="shared" si="0"/>
        <v>#N/A</v>
      </c>
      <c r="R10">
        <v>0.65</v>
      </c>
    </row>
    <row r="11" spans="1:18" s="14" customFormat="1" x14ac:dyDescent="0.35">
      <c r="A11" s="18" t="str">
        <f>'Appendix--Fertilizer Costs'!A17</f>
        <v>Fish emulsion</v>
      </c>
      <c r="B11" s="86">
        <f>'Appendix--Fertilizer Costs'!B17</f>
        <v>0.02</v>
      </c>
      <c r="C11" s="86">
        <f>'Appendix--Fertilizer Costs'!C17</f>
        <v>0.05</v>
      </c>
      <c r="D11" s="86">
        <f>'Appendix--Fertilizer Costs'!D17</f>
        <v>2.0000000000000001E-4</v>
      </c>
      <c r="E11" s="86">
        <f>'Appendix--Fertilizer Costs'!E17</f>
        <v>0</v>
      </c>
      <c r="F11" s="86">
        <f>'Appendix--Fertilizer Costs'!F17</f>
        <v>0</v>
      </c>
      <c r="G11" s="86">
        <f>'Appendix--Fertilizer Costs'!G17</f>
        <v>0</v>
      </c>
      <c r="H11" s="18" t="str">
        <f>'Appendix--Fertilizer Costs'!H17</f>
        <v>rapid</v>
      </c>
      <c r="I11" s="87">
        <f>'Appendix--Fertilizer Costs'!I17</f>
        <v>109</v>
      </c>
      <c r="J11" s="87">
        <f>'Appendix--Fertilizer Costs'!J17</f>
        <v>0</v>
      </c>
      <c r="K11" s="24" t="e">
        <f>('STEP 3--Nutrient Needs'!C11/B11)/R11</f>
        <v>#N/A</v>
      </c>
      <c r="L11" s="24" t="e">
        <f t="shared" ref="L11:L15" si="1">K11*C11</f>
        <v>#N/A</v>
      </c>
      <c r="M11" s="24"/>
      <c r="N11" s="24"/>
      <c r="O11" s="24"/>
      <c r="P11" s="24"/>
      <c r="Q11" s="28" t="e">
        <f t="shared" si="0"/>
        <v>#N/A</v>
      </c>
      <c r="R11">
        <v>1</v>
      </c>
    </row>
    <row r="12" spans="1:18" s="14" customFormat="1" x14ac:dyDescent="0.35">
      <c r="A12" s="18" t="str">
        <f>'Appendix--Fertilizer Costs'!A18</f>
        <v>Fish meal</v>
      </c>
      <c r="B12" s="86">
        <f>'Appendix--Fertilizer Costs'!B18</f>
        <v>6.7000000000000004E-2</v>
      </c>
      <c r="C12" s="86">
        <f>'Appendix--Fertilizer Costs'!C18</f>
        <v>0.11</v>
      </c>
      <c r="D12" s="86">
        <f>'Appendix--Fertilizer Costs'!D18</f>
        <v>4.0000000000000001E-3</v>
      </c>
      <c r="E12" s="86">
        <f>'Appendix--Fertilizer Costs'!E18</f>
        <v>0</v>
      </c>
      <c r="F12" s="86">
        <f>'Appendix--Fertilizer Costs'!F18</f>
        <v>0</v>
      </c>
      <c r="G12" s="86">
        <f>'Appendix--Fertilizer Costs'!G18</f>
        <v>0</v>
      </c>
      <c r="H12" s="18" t="str">
        <f>'Appendix--Fertilizer Costs'!H18</f>
        <v>med</v>
      </c>
      <c r="I12" s="87">
        <f>'Appendix--Fertilizer Costs'!I18</f>
        <v>112</v>
      </c>
      <c r="J12" s="87">
        <f>'Appendix--Fertilizer Costs'!J18</f>
        <v>33.432835820895519</v>
      </c>
      <c r="K12" s="24" t="e">
        <f>('STEP 3--Nutrient Needs'!C11/B12)/R12</f>
        <v>#N/A</v>
      </c>
      <c r="L12" s="24" t="e">
        <f t="shared" si="1"/>
        <v>#N/A</v>
      </c>
      <c r="M12" s="24"/>
      <c r="N12" s="24"/>
      <c r="O12" s="24"/>
      <c r="P12" s="24"/>
      <c r="Q12" s="28" t="e">
        <f t="shared" si="0"/>
        <v>#N/A</v>
      </c>
      <c r="R12">
        <v>0.65</v>
      </c>
    </row>
    <row r="13" spans="1:18" ht="24.7" x14ac:dyDescent="0.35">
      <c r="A13" s="18" t="str">
        <f>'Appendix--Fertilizer Costs'!A19</f>
        <v>Grioux's Composted Poultry Manure</v>
      </c>
      <c r="B13" s="86">
        <f>'Appendix--Fertilizer Costs'!B19</f>
        <v>0.02</v>
      </c>
      <c r="C13" s="86">
        <f>'Appendix--Fertilizer Costs'!C19</f>
        <v>0.03</v>
      </c>
      <c r="D13" s="86">
        <f>'Appendix--Fertilizer Costs'!D19</f>
        <v>1.4999999999999999E-2</v>
      </c>
      <c r="E13" s="86">
        <f>'Appendix--Fertilizer Costs'!E19</f>
        <v>7.0000000000000007E-2</v>
      </c>
      <c r="F13" s="86">
        <f>'Appendix--Fertilizer Costs'!F19</f>
        <v>0.01</v>
      </c>
      <c r="G13" s="86">
        <f>'Appendix--Fertilizer Costs'!G19</f>
        <v>0.05</v>
      </c>
      <c r="H13" s="18" t="str">
        <f>'Appendix--Fertilizer Costs'!H19</f>
        <v>med</v>
      </c>
      <c r="I13" s="87">
        <f>'Appendix--Fertilizer Costs'!I19</f>
        <v>1</v>
      </c>
      <c r="J13" s="87">
        <f>'Appendix--Fertilizer Costs'!J19</f>
        <v>1</v>
      </c>
      <c r="K13" s="24" t="e">
        <f>('STEP 3--Nutrient Needs'!C11/B13)/R13</f>
        <v>#N/A</v>
      </c>
      <c r="L13" s="24" t="e">
        <f t="shared" si="1"/>
        <v>#N/A</v>
      </c>
      <c r="M13" s="24" t="e">
        <f t="shared" ref="M13:M15" si="2">K13*D13</f>
        <v>#N/A</v>
      </c>
      <c r="N13" s="24" t="e">
        <f>K13*E13</f>
        <v>#N/A</v>
      </c>
      <c r="O13" s="24" t="e">
        <f>F13*K13</f>
        <v>#N/A</v>
      </c>
      <c r="P13" s="24" t="e">
        <f>G13*K13</f>
        <v>#N/A</v>
      </c>
      <c r="Q13" s="28" t="e">
        <f t="shared" si="0"/>
        <v>#N/A</v>
      </c>
      <c r="R13">
        <v>0.6</v>
      </c>
    </row>
    <row r="14" spans="1:18" ht="15.35" x14ac:dyDescent="0.45">
      <c r="A14" s="83" t="s">
        <v>183</v>
      </c>
      <c r="B14" s="69">
        <v>0.04</v>
      </c>
      <c r="C14" s="69">
        <v>0.03</v>
      </c>
      <c r="D14" s="69">
        <v>0.02</v>
      </c>
      <c r="E14" s="69"/>
      <c r="F14" s="69"/>
      <c r="G14" s="69"/>
      <c r="H14" s="71" t="s">
        <v>184</v>
      </c>
      <c r="I14" s="168">
        <v>8.3000000000000007</v>
      </c>
      <c r="J14" s="72">
        <f>I14*2/(B14*100)</f>
        <v>4.1500000000000004</v>
      </c>
      <c r="K14" s="24" t="e">
        <f>('STEP 3--Nutrient Needs'!C11/B14)/R14</f>
        <v>#N/A</v>
      </c>
      <c r="L14" s="24" t="e">
        <f t="shared" si="1"/>
        <v>#N/A</v>
      </c>
      <c r="M14" s="24" t="e">
        <f t="shared" si="2"/>
        <v>#N/A</v>
      </c>
      <c r="N14" s="24" t="e">
        <f t="shared" ref="N14:N15" si="3">K14*E14</f>
        <v>#N/A</v>
      </c>
      <c r="O14" s="24" t="e">
        <f>F14*K14</f>
        <v>#N/A</v>
      </c>
      <c r="P14" s="24" t="e">
        <f>G14*K14</f>
        <v>#N/A</v>
      </c>
      <c r="Q14" s="28" t="e">
        <f t="shared" ref="Q14" si="4">K14*B14*J14</f>
        <v>#N/A</v>
      </c>
      <c r="R14">
        <v>0.6</v>
      </c>
    </row>
    <row r="15" spans="1:18" x14ac:dyDescent="0.35">
      <c r="A15" s="18" t="str">
        <f>'Appendix--Fertilizer Costs'!A26</f>
        <v>Ag-Lime</v>
      </c>
      <c r="B15" s="171">
        <f>'Appendix--Fertilizer Costs'!B26</f>
        <v>0</v>
      </c>
      <c r="C15" s="171">
        <f>'Appendix--Fertilizer Costs'!C26</f>
        <v>0</v>
      </c>
      <c r="D15" s="171">
        <f>'Appendix--Fertilizer Costs'!D26</f>
        <v>0</v>
      </c>
      <c r="E15" s="171">
        <f>'Appendix--Fertilizer Costs'!E26</f>
        <v>0</v>
      </c>
      <c r="F15" s="171">
        <f>'Appendix--Fertilizer Costs'!F26</f>
        <v>0</v>
      </c>
      <c r="G15" s="171">
        <f>'Appendix--Fertilizer Costs'!G26</f>
        <v>0</v>
      </c>
      <c r="H15" s="18">
        <f>'Appendix--Fertilizer Costs'!H26</f>
        <v>0</v>
      </c>
      <c r="I15" s="172">
        <f>'Appendix--Fertilizer Costs'!I26</f>
        <v>200</v>
      </c>
      <c r="J15" s="172">
        <f>'Appendix--Fertilizer Costs'!J26</f>
        <v>0</v>
      </c>
      <c r="K15" s="24" t="e">
        <f>('STEP 3--Nutrient Needs'!C11/B15)/R15</f>
        <v>#N/A</v>
      </c>
      <c r="L15" s="24" t="e">
        <f t="shared" si="1"/>
        <v>#N/A</v>
      </c>
      <c r="M15" s="24" t="e">
        <f t="shared" si="2"/>
        <v>#N/A</v>
      </c>
      <c r="N15" s="24" t="e">
        <f t="shared" si="3"/>
        <v>#N/A</v>
      </c>
      <c r="Q15" s="28" t="e">
        <f t="shared" ref="Q15:Q24" si="5">K15*B15*J15</f>
        <v>#N/A</v>
      </c>
      <c r="R15">
        <v>0.7</v>
      </c>
    </row>
    <row r="16" spans="1:18" x14ac:dyDescent="0.35">
      <c r="A16" s="18" t="str">
        <f>'Appendix--Fertilizer Costs'!A27</f>
        <v>Makro 60</v>
      </c>
      <c r="B16" s="86">
        <f>'Appendix--Fertilizer Costs'!B27</f>
        <v>0</v>
      </c>
      <c r="C16" s="86">
        <f>'Appendix--Fertilizer Costs'!C27</f>
        <v>0</v>
      </c>
      <c r="D16" s="86">
        <f>'Appendix--Fertilizer Costs'!D27</f>
        <v>0.6</v>
      </c>
      <c r="E16" s="86">
        <f>'Appendix--Fertilizer Costs'!E27</f>
        <v>0</v>
      </c>
      <c r="F16" s="86">
        <f>'Appendix--Fertilizer Costs'!F27</f>
        <v>0</v>
      </c>
      <c r="G16" s="86">
        <f>'Appendix--Fertilizer Costs'!G27</f>
        <v>0</v>
      </c>
      <c r="H16" s="18">
        <f>'Appendix--Fertilizer Costs'!H27</f>
        <v>0</v>
      </c>
      <c r="I16" s="87">
        <f>'Appendix--Fertilizer Costs'!I27</f>
        <v>36.25</v>
      </c>
      <c r="J16" s="87">
        <f>'Appendix--Fertilizer Costs'!J27</f>
        <v>0</v>
      </c>
      <c r="K16" s="24" t="e">
        <f>('STEP 3--Nutrient Needs'!C11/B16)/R16</f>
        <v>#N/A</v>
      </c>
      <c r="L16" s="24" t="e">
        <f t="shared" ref="L16:L24" si="6">K16*C16</f>
        <v>#N/A</v>
      </c>
      <c r="M16" s="24" t="e">
        <f t="shared" ref="M16:M24" si="7">K16*D16</f>
        <v>#N/A</v>
      </c>
      <c r="Q16" s="28" t="e">
        <f t="shared" si="5"/>
        <v>#N/A</v>
      </c>
      <c r="R16">
        <v>0.6</v>
      </c>
    </row>
    <row r="17" spans="1:18" ht="24.7" x14ac:dyDescent="0.35">
      <c r="A17" s="18" t="str">
        <f>'Appendix--Fertilizer Costs'!A31</f>
        <v>Organo-Phos w. humic acid</v>
      </c>
      <c r="B17" s="86">
        <f>'Appendix--Fertilizer Costs'!B31</f>
        <v>0</v>
      </c>
      <c r="C17" s="86">
        <f>'Appendix--Fertilizer Costs'!C31</f>
        <v>0.12</v>
      </c>
      <c r="D17" s="86">
        <f>'Appendix--Fertilizer Costs'!D31</f>
        <v>0</v>
      </c>
      <c r="E17" s="86">
        <f>'Appendix--Fertilizer Costs'!E31</f>
        <v>0.25</v>
      </c>
      <c r="F17" s="86">
        <f>'Appendix--Fertilizer Costs'!F31</f>
        <v>0</v>
      </c>
      <c r="G17" s="86">
        <f>'Appendix--Fertilizer Costs'!G31</f>
        <v>0</v>
      </c>
      <c r="H17" s="18">
        <f>'Appendix--Fertilizer Costs'!H31</f>
        <v>0</v>
      </c>
      <c r="I17" s="87">
        <f>'Appendix--Fertilizer Costs'!I31</f>
        <v>0</v>
      </c>
      <c r="J17" s="87">
        <f>'Appendix--Fertilizer Costs'!J31</f>
        <v>0</v>
      </c>
      <c r="K17" s="24" t="e">
        <f>('STEP 3--Nutrient Needs'!C11/B17)/R17</f>
        <v>#N/A</v>
      </c>
      <c r="L17" s="24" t="e">
        <f t="shared" si="6"/>
        <v>#N/A</v>
      </c>
      <c r="M17" s="24" t="e">
        <f t="shared" si="7"/>
        <v>#N/A</v>
      </c>
      <c r="N17" s="24" t="e">
        <f>K17*E17</f>
        <v>#N/A</v>
      </c>
      <c r="O17" s="24" t="e">
        <f>F17*K17</f>
        <v>#N/A</v>
      </c>
      <c r="P17" s="24" t="e">
        <f>G17*K17</f>
        <v>#N/A</v>
      </c>
      <c r="Q17" s="28" t="e">
        <f t="shared" si="5"/>
        <v>#N/A</v>
      </c>
      <c r="R17" s="25">
        <v>0.75</v>
      </c>
    </row>
    <row r="18" spans="1:18" x14ac:dyDescent="0.35">
      <c r="A18" s="18" t="str">
        <f>'Appendix--Fertilizer Costs'!A34</f>
        <v>Polysulfate</v>
      </c>
      <c r="B18" s="86">
        <f>'Appendix--Fertilizer Costs'!B34</f>
        <v>0</v>
      </c>
      <c r="C18" s="86">
        <f>'Appendix--Fertilizer Costs'!C34</f>
        <v>0</v>
      </c>
      <c r="D18" s="86">
        <f>'Appendix--Fertilizer Costs'!D34</f>
        <v>0.14000000000000001</v>
      </c>
      <c r="E18" s="86">
        <f>'Appendix--Fertilizer Costs'!E34</f>
        <v>0.12</v>
      </c>
      <c r="F18" s="86">
        <f>'Appendix--Fertilizer Costs'!F34</f>
        <v>3.5999999999999997E-2</v>
      </c>
      <c r="G18" s="86">
        <f>'Appendix--Fertilizer Costs'!G34</f>
        <v>0.19</v>
      </c>
      <c r="H18" s="18">
        <f>'Appendix--Fertilizer Costs'!H34</f>
        <v>0</v>
      </c>
      <c r="I18" s="87">
        <f>'Appendix--Fertilizer Costs'!I34</f>
        <v>20</v>
      </c>
      <c r="J18" s="87">
        <f>'Appendix--Fertilizer Costs'!J34</f>
        <v>0</v>
      </c>
      <c r="K18" s="24" t="e">
        <f>('STEP 3--Nutrient Needs'!C11/B18)/R18</f>
        <v>#N/A</v>
      </c>
      <c r="L18" s="24" t="e">
        <f t="shared" si="6"/>
        <v>#N/A</v>
      </c>
      <c r="M18" s="24" t="e">
        <f t="shared" si="7"/>
        <v>#N/A</v>
      </c>
      <c r="O18" s="24" t="e">
        <f>F18*K18</f>
        <v>#N/A</v>
      </c>
      <c r="Q18" s="28" t="e">
        <f t="shared" si="5"/>
        <v>#N/A</v>
      </c>
      <c r="R18">
        <v>1</v>
      </c>
    </row>
    <row r="19" spans="1:18" x14ac:dyDescent="0.35">
      <c r="A19" s="18" t="str">
        <f>'Appendix--Fertilizer Costs'!A37</f>
        <v>Soybean meal</v>
      </c>
      <c r="B19" s="86">
        <f>'Appendix--Fertilizer Costs'!B37</f>
        <v>7.0000000000000007E-2</v>
      </c>
      <c r="C19" s="86">
        <f>'Appendix--Fertilizer Costs'!C37</f>
        <v>0.01</v>
      </c>
      <c r="D19" s="86">
        <f>'Appendix--Fertilizer Costs'!D37</f>
        <v>0.02</v>
      </c>
      <c r="E19" s="86">
        <f>'Appendix--Fertilizer Costs'!E37</f>
        <v>0</v>
      </c>
      <c r="F19" s="86">
        <f>'Appendix--Fertilizer Costs'!F37</f>
        <v>0.03</v>
      </c>
      <c r="G19" s="86">
        <f>'Appendix--Fertilizer Costs'!G37</f>
        <v>0</v>
      </c>
      <c r="H19" s="18" t="str">
        <f>'Appendix--Fertilizer Costs'!H37</f>
        <v>slow/ med</v>
      </c>
      <c r="I19" s="87">
        <f>'Appendix--Fertilizer Costs'!I37</f>
        <v>17</v>
      </c>
      <c r="J19" s="87">
        <f>'Appendix--Fertilizer Costs'!J37</f>
        <v>4.8571428571428568</v>
      </c>
      <c r="K19" s="24" t="e">
        <f>('STEP 3--Nutrient Needs'!C11/B19)/R19</f>
        <v>#N/A</v>
      </c>
      <c r="L19" s="24" t="e">
        <f t="shared" si="6"/>
        <v>#N/A</v>
      </c>
      <c r="M19" s="24" t="e">
        <f t="shared" si="7"/>
        <v>#N/A</v>
      </c>
      <c r="Q19" s="28" t="e">
        <f t="shared" si="5"/>
        <v>#N/A</v>
      </c>
      <c r="R19">
        <v>0.65</v>
      </c>
    </row>
    <row r="20" spans="1:18" s="14" customFormat="1" x14ac:dyDescent="0.35">
      <c r="A20" s="18" t="str">
        <f>'Appendix--Fertilizer Costs'!A38</f>
        <v>Soybean meal, OG</v>
      </c>
      <c r="B20" s="86">
        <f>'Appendix--Fertilizer Costs'!B38</f>
        <v>7.0000000000000007E-2</v>
      </c>
      <c r="C20" s="86">
        <f>'Appendix--Fertilizer Costs'!C38</f>
        <v>0.01</v>
      </c>
      <c r="D20" s="86">
        <f>'Appendix--Fertilizer Costs'!D38</f>
        <v>0.02</v>
      </c>
      <c r="E20" s="86">
        <f>'Appendix--Fertilizer Costs'!E38</f>
        <v>0</v>
      </c>
      <c r="F20" s="86">
        <f>'Appendix--Fertilizer Costs'!F38</f>
        <v>0</v>
      </c>
      <c r="G20" s="86">
        <f>'Appendix--Fertilizer Costs'!G38</f>
        <v>0</v>
      </c>
      <c r="H20" s="18" t="str">
        <f>'Appendix--Fertilizer Costs'!H38</f>
        <v>slow/ med</v>
      </c>
      <c r="I20" s="87">
        <f>'Appendix--Fertilizer Costs'!I38</f>
        <v>43.6</v>
      </c>
      <c r="J20" s="87">
        <f>'Appendix--Fertilizer Costs'!J38</f>
        <v>12.457142857142856</v>
      </c>
      <c r="K20" s="24" t="e">
        <f>('STEP 3--Nutrient Needs'!C11/B20)/R20</f>
        <v>#N/A</v>
      </c>
      <c r="L20" s="24" t="e">
        <f t="shared" si="6"/>
        <v>#N/A</v>
      </c>
      <c r="M20" s="24" t="e">
        <f t="shared" si="7"/>
        <v>#N/A</v>
      </c>
      <c r="N20" s="24"/>
      <c r="O20" s="24"/>
      <c r="P20" s="24"/>
      <c r="Q20" s="28" t="e">
        <f t="shared" si="5"/>
        <v>#N/A</v>
      </c>
      <c r="R20">
        <v>0.65</v>
      </c>
    </row>
    <row r="21" spans="1:18" s="14" customFormat="1" x14ac:dyDescent="0.35">
      <c r="A21" s="18" t="str">
        <f>'Appendix--Fertilizer Costs'!A39</f>
        <v>Sulfate of potash</v>
      </c>
      <c r="B21" s="86">
        <f>'Appendix--Fertilizer Costs'!B39</f>
        <v>0</v>
      </c>
      <c r="C21" s="86">
        <f>'Appendix--Fertilizer Costs'!C39</f>
        <v>0</v>
      </c>
      <c r="D21" s="86">
        <f>'Appendix--Fertilizer Costs'!D39</f>
        <v>0.5</v>
      </c>
      <c r="E21" s="86">
        <f>'Appendix--Fertilizer Costs'!E39</f>
        <v>0</v>
      </c>
      <c r="F21" s="86">
        <f>'Appendix--Fertilizer Costs'!F39</f>
        <v>0</v>
      </c>
      <c r="G21" s="86">
        <f>'Appendix--Fertilizer Costs'!G39</f>
        <v>0.17</v>
      </c>
      <c r="H21" s="18" t="str">
        <f>'Appendix--Fertilizer Costs'!H39</f>
        <v>rapid</v>
      </c>
      <c r="I21" s="87">
        <f>'Appendix--Fertilizer Costs'!I39</f>
        <v>34.14</v>
      </c>
      <c r="J21" s="87">
        <f>'Appendix--Fertilizer Costs'!J39</f>
        <v>0</v>
      </c>
      <c r="K21" s="24" t="e">
        <f>('STEP 3--Nutrient Needs'!C11/B21)/R21</f>
        <v>#N/A</v>
      </c>
      <c r="L21" s="24" t="e">
        <f t="shared" si="6"/>
        <v>#N/A</v>
      </c>
      <c r="M21" s="24" t="e">
        <f t="shared" si="7"/>
        <v>#N/A</v>
      </c>
      <c r="N21" s="24"/>
      <c r="O21" s="24"/>
      <c r="P21" s="24"/>
      <c r="Q21" s="28" t="e">
        <f t="shared" si="5"/>
        <v>#N/A</v>
      </c>
      <c r="R21">
        <v>0.65</v>
      </c>
    </row>
    <row r="22" spans="1:18" s="14" customFormat="1" x14ac:dyDescent="0.35">
      <c r="A22" s="18" t="str">
        <f>'Appendix--Fertilizer Costs'!A40</f>
        <v>SOP soluble</v>
      </c>
      <c r="B22" s="86">
        <f>'Appendix--Fertilizer Costs'!B40</f>
        <v>0</v>
      </c>
      <c r="C22" s="86">
        <f>'Appendix--Fertilizer Costs'!C40</f>
        <v>0</v>
      </c>
      <c r="D22" s="86">
        <f>'Appendix--Fertilizer Costs'!D40</f>
        <v>0.52</v>
      </c>
      <c r="E22" s="86">
        <f>'Appendix--Fertilizer Costs'!E40</f>
        <v>0</v>
      </c>
      <c r="F22" s="86">
        <f>'Appendix--Fertilizer Costs'!F40</f>
        <v>0</v>
      </c>
      <c r="G22" s="86">
        <f>'Appendix--Fertilizer Costs'!G40</f>
        <v>0</v>
      </c>
      <c r="H22" s="18">
        <f>'Appendix--Fertilizer Costs'!H40</f>
        <v>0</v>
      </c>
      <c r="I22" s="87">
        <f>'Appendix--Fertilizer Costs'!I40</f>
        <v>54.3</v>
      </c>
      <c r="J22" s="87">
        <f>'Appendix--Fertilizer Costs'!J40</f>
        <v>0</v>
      </c>
      <c r="K22" s="24" t="e">
        <f>('STEP 3--Nutrient Needs'!C11/B22)/R22</f>
        <v>#N/A</v>
      </c>
      <c r="L22" s="24" t="e">
        <f t="shared" si="6"/>
        <v>#N/A</v>
      </c>
      <c r="M22" s="24" t="e">
        <f t="shared" si="7"/>
        <v>#N/A</v>
      </c>
      <c r="N22" s="24"/>
      <c r="O22" s="24"/>
      <c r="P22" s="24"/>
      <c r="Q22" s="28" t="e">
        <f t="shared" si="5"/>
        <v>#N/A</v>
      </c>
      <c r="R22">
        <v>0.65</v>
      </c>
    </row>
    <row r="23" spans="1:18" s="14" customFormat="1" ht="24.7" x14ac:dyDescent="0.35">
      <c r="A23" s="18" t="str">
        <f>'Appendix--Fertilizer Costs'!A41</f>
        <v>Triple super phosphate</v>
      </c>
      <c r="B23" s="86">
        <f>'Appendix--Fertilizer Costs'!B41</f>
        <v>0.18</v>
      </c>
      <c r="C23" s="86">
        <f>'Appendix--Fertilizer Costs'!C41</f>
        <v>0.46</v>
      </c>
      <c r="D23" s="86">
        <f>'Appendix--Fertilizer Costs'!D41</f>
        <v>0</v>
      </c>
      <c r="E23" s="86">
        <f>'Appendix--Fertilizer Costs'!E41</f>
        <v>0</v>
      </c>
      <c r="F23" s="86">
        <f>'Appendix--Fertilizer Costs'!F41</f>
        <v>0</v>
      </c>
      <c r="G23" s="86">
        <f>'Appendix--Fertilizer Costs'!G41</f>
        <v>0</v>
      </c>
      <c r="H23" s="18" t="str">
        <f>'Appendix--Fertilizer Costs'!H41</f>
        <v>rapid</v>
      </c>
      <c r="I23" s="87">
        <f>'Appendix--Fertilizer Costs'!I41</f>
        <v>24.5</v>
      </c>
      <c r="J23" s="87">
        <f>'Appendix--Fertilizer Costs'!J41</f>
        <v>0</v>
      </c>
      <c r="K23" s="24" t="e">
        <f>('STEP 3--Nutrient Needs'!C11/B23)/R23</f>
        <v>#N/A</v>
      </c>
      <c r="L23" s="24" t="e">
        <f t="shared" si="6"/>
        <v>#N/A</v>
      </c>
      <c r="M23" s="24" t="e">
        <f t="shared" si="7"/>
        <v>#N/A</v>
      </c>
      <c r="N23" s="24"/>
      <c r="O23" s="24"/>
      <c r="P23" s="24"/>
      <c r="Q23" s="28" t="e">
        <f t="shared" si="5"/>
        <v>#N/A</v>
      </c>
      <c r="R23">
        <v>0.8</v>
      </c>
    </row>
    <row r="24" spans="1:18" s="14" customFormat="1" x14ac:dyDescent="0.35">
      <c r="A24" s="18" t="str">
        <f>'Appendix--Fertilizer Costs'!A42</f>
        <v>Urea</v>
      </c>
      <c r="B24" s="86">
        <f>'Appendix--Fertilizer Costs'!B42</f>
        <v>0.46</v>
      </c>
      <c r="C24" s="86">
        <f>'Appendix--Fertilizer Costs'!C42</f>
        <v>0</v>
      </c>
      <c r="D24" s="86">
        <f>'Appendix--Fertilizer Costs'!D42</f>
        <v>0</v>
      </c>
      <c r="E24" s="86">
        <f>'Appendix--Fertilizer Costs'!E42</f>
        <v>0</v>
      </c>
      <c r="F24" s="86">
        <f>'Appendix--Fertilizer Costs'!F42</f>
        <v>0</v>
      </c>
      <c r="G24" s="86">
        <f>'Appendix--Fertilizer Costs'!G42</f>
        <v>0</v>
      </c>
      <c r="H24" s="18" t="str">
        <f>'Appendix--Fertilizer Costs'!H42</f>
        <v>rapid</v>
      </c>
      <c r="I24" s="87">
        <f>'Appendix--Fertilizer Costs'!I42</f>
        <v>18.75</v>
      </c>
      <c r="J24" s="87">
        <f>'Appendix--Fertilizer Costs'!J42</f>
        <v>0.81521739130434778</v>
      </c>
      <c r="K24" s="24" t="e">
        <f>('STEP 3--Nutrient Needs'!C11/B24)/R24</f>
        <v>#N/A</v>
      </c>
      <c r="L24" s="24" t="e">
        <f t="shared" si="6"/>
        <v>#N/A</v>
      </c>
      <c r="M24" s="24" t="e">
        <f t="shared" si="7"/>
        <v>#N/A</v>
      </c>
      <c r="N24" s="24"/>
      <c r="O24" s="24"/>
      <c r="P24" s="24"/>
      <c r="Q24" s="28" t="e">
        <f t="shared" si="5"/>
        <v>#N/A</v>
      </c>
      <c r="R24">
        <v>0.8</v>
      </c>
    </row>
    <row r="25" spans="1:18" s="14" customFormat="1" x14ac:dyDescent="0.35">
      <c r="A25" s="18" t="str">
        <f>'STEP 4--Choose N'!A31</f>
        <v>NONE NEEDED</v>
      </c>
      <c r="B25" s="18">
        <f>'STEP 4--Choose N'!B31</f>
        <v>0</v>
      </c>
      <c r="C25" s="18">
        <f>'STEP 4--Choose N'!C31</f>
        <v>0</v>
      </c>
      <c r="D25" s="18">
        <f>'STEP 4--Choose N'!D31</f>
        <v>0</v>
      </c>
      <c r="E25" s="18">
        <f>'STEP 4--Choose N'!E31</f>
        <v>0</v>
      </c>
      <c r="F25" s="18">
        <f>'STEP 4--Choose N'!F31</f>
        <v>0</v>
      </c>
      <c r="G25" s="18">
        <f>'STEP 4--Choose N'!G31</f>
        <v>0</v>
      </c>
      <c r="H25" s="18">
        <f>'STEP 4--Choose N'!H31</f>
        <v>0</v>
      </c>
      <c r="I25" s="18">
        <f>'STEP 4--Choose N'!I31</f>
        <v>0</v>
      </c>
      <c r="J25" s="18">
        <f>'STEP 4--Choose N'!J31</f>
        <v>0</v>
      </c>
      <c r="K25" s="18">
        <f>'STEP 4--Choose N'!K30</f>
        <v>0</v>
      </c>
      <c r="L25" s="24">
        <v>0</v>
      </c>
      <c r="M25" s="24">
        <v>0</v>
      </c>
      <c r="N25" s="24">
        <v>0</v>
      </c>
      <c r="O25" s="24">
        <v>0</v>
      </c>
      <c r="P25" s="24">
        <v>0</v>
      </c>
      <c r="Q25" s="28">
        <v>0</v>
      </c>
      <c r="R25" s="24">
        <v>0</v>
      </c>
    </row>
    <row r="26" spans="1:18" s="14" customFormat="1" ht="63" customHeight="1" x14ac:dyDescent="0.4">
      <c r="A26" s="57" t="str">
        <f>'STEP 4--Choose N'!A32</f>
        <v>Naturesafe 10-2-8</v>
      </c>
      <c r="B26" s="57">
        <f>'STEP 4--Choose N'!B32</f>
        <v>0.1</v>
      </c>
      <c r="C26" s="57">
        <f>'STEP 4--Choose N'!C32</f>
        <v>0.02</v>
      </c>
      <c r="D26" s="57">
        <f>'STEP 4--Choose N'!D32</f>
        <v>0.08</v>
      </c>
      <c r="E26" s="57">
        <f>'STEP 4--Choose N'!E32</f>
        <v>0</v>
      </c>
      <c r="F26" s="57">
        <f>'STEP 4--Choose N'!F32</f>
        <v>0</v>
      </c>
      <c r="G26" s="57">
        <f>'STEP 4--Choose N'!G32</f>
        <v>0</v>
      </c>
      <c r="H26" s="57">
        <f>'STEP 4--Choose N'!H32</f>
        <v>0</v>
      </c>
      <c r="I26" s="57">
        <f>'STEP 4--Choose N'!I32</f>
        <v>0</v>
      </c>
      <c r="J26" s="57">
        <f>'STEP 4--Choose N'!J32</f>
        <v>0</v>
      </c>
      <c r="K26" s="24" t="e">
        <f>('STEP 3--Nutrient Needs'!C11/B26)/R26</f>
        <v>#N/A</v>
      </c>
      <c r="L26" s="24" t="e">
        <f>K26*C26</f>
        <v>#N/A</v>
      </c>
      <c r="M26" s="24" t="e">
        <f>K26*D26</f>
        <v>#N/A</v>
      </c>
      <c r="N26" s="24"/>
      <c r="O26" s="24"/>
      <c r="P26" s="24"/>
      <c r="Q26" s="28" t="e">
        <f>K26*B26*J26</f>
        <v>#N/A</v>
      </c>
      <c r="R26">
        <v>0.7</v>
      </c>
    </row>
    <row r="27" spans="1:18" s="14" customFormat="1" x14ac:dyDescent="0.35">
      <c r="A27" s="1"/>
      <c r="B27" s="2"/>
      <c r="C27" s="2"/>
      <c r="D27" s="2"/>
      <c r="E27" s="2"/>
      <c r="F27" s="2"/>
      <c r="G27" s="2"/>
      <c r="H27"/>
      <c r="K27" s="24"/>
      <c r="L27" s="24"/>
      <c r="M27" s="24"/>
      <c r="N27" s="24"/>
      <c r="O27" s="24"/>
      <c r="P27" s="24"/>
      <c r="Q27" s="28"/>
      <c r="R27"/>
    </row>
    <row r="28" spans="1:18" s="14" customFormat="1" x14ac:dyDescent="0.35">
      <c r="A28" s="1"/>
      <c r="B28" s="2"/>
      <c r="C28" s="2"/>
      <c r="D28" s="2"/>
      <c r="E28" s="2"/>
      <c r="F28" s="2"/>
      <c r="G28" s="2"/>
      <c r="H28"/>
      <c r="K28" s="24"/>
      <c r="L28" s="24"/>
      <c r="M28" s="24"/>
      <c r="N28" s="24"/>
      <c r="O28" s="24"/>
      <c r="P28" s="24"/>
      <c r="Q28" s="28"/>
      <c r="R28"/>
    </row>
    <row r="29" spans="1:18" s="14" customFormat="1" x14ac:dyDescent="0.35">
      <c r="A29" s="1"/>
      <c r="B29" s="2"/>
      <c r="C29" s="2"/>
      <c r="D29" s="2"/>
      <c r="E29" s="2"/>
      <c r="F29" s="2"/>
      <c r="G29" s="2"/>
      <c r="H29"/>
      <c r="K29" s="24"/>
      <c r="L29" s="24"/>
      <c r="M29" s="24"/>
      <c r="N29" s="24"/>
      <c r="O29" s="24"/>
      <c r="P29" s="24"/>
      <c r="Q29" s="28"/>
      <c r="R29"/>
    </row>
    <row r="30" spans="1:18" s="14" customFormat="1" x14ac:dyDescent="0.35">
      <c r="A30" s="1"/>
      <c r="B30" s="2"/>
      <c r="C30" s="2"/>
      <c r="D30" s="2"/>
      <c r="E30" s="2"/>
      <c r="F30" s="2"/>
      <c r="G30" s="2"/>
      <c r="H30"/>
      <c r="K30" s="24"/>
      <c r="L30" s="24"/>
      <c r="M30" s="24"/>
      <c r="N30" s="24"/>
      <c r="O30" s="24"/>
      <c r="P30" s="24"/>
      <c r="Q30" s="28"/>
      <c r="R30"/>
    </row>
    <row r="31" spans="1:18" s="14" customFormat="1" x14ac:dyDescent="0.35">
      <c r="A31" s="1"/>
      <c r="B31" s="2"/>
      <c r="C31" s="2"/>
      <c r="D31" s="2"/>
      <c r="E31" s="2"/>
      <c r="F31" s="2"/>
      <c r="G31" s="2"/>
      <c r="H31"/>
      <c r="K31" s="24"/>
      <c r="L31" s="24"/>
      <c r="M31" s="24"/>
      <c r="N31" s="24"/>
      <c r="O31" s="24"/>
      <c r="P31" s="24"/>
      <c r="Q31" s="28"/>
      <c r="R31"/>
    </row>
    <row r="32" spans="1:18" s="14" customFormat="1" x14ac:dyDescent="0.35">
      <c r="A32" s="1"/>
      <c r="B32" s="2"/>
      <c r="C32" s="2"/>
      <c r="D32" s="2"/>
      <c r="E32" s="2"/>
      <c r="F32" s="2"/>
      <c r="G32" s="2"/>
      <c r="H32"/>
      <c r="K32" s="24"/>
      <c r="L32" s="24"/>
      <c r="M32" s="24"/>
      <c r="N32" s="24"/>
      <c r="O32" s="24"/>
      <c r="P32" s="24"/>
      <c r="Q32" s="28"/>
      <c r="R32"/>
    </row>
    <row r="33" spans="1:18" s="14" customFormat="1" x14ac:dyDescent="0.35">
      <c r="A33" s="1"/>
      <c r="B33" s="2"/>
      <c r="C33" s="2"/>
      <c r="D33" s="2"/>
      <c r="E33" s="2"/>
      <c r="F33" s="2"/>
      <c r="G33" s="2"/>
      <c r="H33"/>
      <c r="K33" s="24"/>
      <c r="L33" s="24"/>
      <c r="M33" s="24"/>
      <c r="N33" s="24"/>
      <c r="O33" s="24"/>
      <c r="P33" s="24"/>
      <c r="Q33" s="28"/>
      <c r="R33"/>
    </row>
    <row r="34" spans="1:18" s="14" customFormat="1" x14ac:dyDescent="0.35">
      <c r="A34" s="1"/>
      <c r="B34" s="2"/>
      <c r="C34" s="2"/>
      <c r="D34" s="2"/>
      <c r="E34" s="2"/>
      <c r="F34" s="2"/>
      <c r="G34" s="2"/>
      <c r="H34"/>
      <c r="K34" s="24"/>
      <c r="L34" s="24"/>
      <c r="M34" s="24"/>
      <c r="N34" s="24"/>
      <c r="O34" s="24"/>
      <c r="P34" s="24"/>
      <c r="Q34" s="28"/>
      <c r="R34"/>
    </row>
    <row r="35" spans="1:18" s="14" customFormat="1" x14ac:dyDescent="0.35">
      <c r="A35" s="1"/>
      <c r="B35" s="2"/>
      <c r="C35" s="2"/>
      <c r="D35" s="2"/>
      <c r="E35" s="2"/>
      <c r="F35" s="2"/>
      <c r="G35" s="2"/>
      <c r="H35"/>
      <c r="K35" s="24"/>
      <c r="L35" s="24"/>
      <c r="M35" s="24"/>
      <c r="N35" s="24"/>
      <c r="O35" s="24"/>
      <c r="P35" s="24"/>
      <c r="Q35" s="28"/>
      <c r="R35"/>
    </row>
    <row r="36" spans="1:18" s="14" customFormat="1" x14ac:dyDescent="0.35">
      <c r="A36" s="1"/>
      <c r="B36" s="2"/>
      <c r="C36" s="2"/>
      <c r="D36" s="2"/>
      <c r="E36" s="2"/>
      <c r="F36" s="2"/>
      <c r="G36" s="2"/>
      <c r="H36"/>
      <c r="K36" s="24"/>
      <c r="L36" s="24"/>
      <c r="M36" s="24"/>
      <c r="N36" s="24"/>
      <c r="O36" s="24"/>
      <c r="P36" s="24"/>
      <c r="Q36" s="28"/>
      <c r="R36"/>
    </row>
    <row r="37" spans="1:18" s="14" customFormat="1" x14ac:dyDescent="0.35">
      <c r="A37" s="27"/>
      <c r="B37" s="2"/>
      <c r="C37" s="2"/>
      <c r="D37" s="2"/>
      <c r="E37" s="2"/>
      <c r="F37" s="2"/>
      <c r="G37" s="2"/>
      <c r="H37"/>
      <c r="K37" s="24"/>
      <c r="L37" s="24"/>
      <c r="M37" s="24"/>
      <c r="N37" s="24"/>
      <c r="O37" s="24"/>
      <c r="P37" s="24"/>
      <c r="Q37" s="28"/>
      <c r="R37"/>
    </row>
    <row r="38" spans="1:18" s="14" customFormat="1" x14ac:dyDescent="0.35">
      <c r="A38" s="1"/>
      <c r="B38" s="2"/>
      <c r="C38" s="2"/>
      <c r="D38" s="2"/>
      <c r="E38" s="2"/>
      <c r="F38" s="2"/>
      <c r="G38" s="2"/>
      <c r="H38"/>
      <c r="K38" s="24"/>
      <c r="L38" s="24"/>
      <c r="M38" s="24"/>
      <c r="N38" s="24"/>
      <c r="O38" s="24"/>
      <c r="P38" s="24"/>
      <c r="Q38" s="28"/>
      <c r="R38"/>
    </row>
    <row r="39" spans="1:18" s="14" customFormat="1" x14ac:dyDescent="0.35">
      <c r="A39" s="1"/>
      <c r="B39" s="2"/>
      <c r="C39" s="2"/>
      <c r="D39" s="2"/>
      <c r="E39" s="2"/>
      <c r="F39" s="2"/>
      <c r="G39" s="2"/>
      <c r="H39"/>
      <c r="K39" s="24"/>
      <c r="L39" s="24"/>
      <c r="M39" s="24"/>
      <c r="N39" s="24"/>
      <c r="O39" s="24"/>
      <c r="P39" s="24"/>
      <c r="Q39" s="28"/>
      <c r="R39"/>
    </row>
    <row r="40" spans="1:18" s="14" customFormat="1" x14ac:dyDescent="0.35">
      <c r="A40" s="1"/>
      <c r="B40" s="2"/>
      <c r="C40" s="2"/>
      <c r="D40" s="2"/>
      <c r="E40" s="2"/>
      <c r="F40" s="2"/>
      <c r="G40" s="2"/>
      <c r="H40"/>
      <c r="K40" s="24"/>
      <c r="L40" s="24"/>
      <c r="M40" s="24"/>
      <c r="N40" s="24"/>
      <c r="O40" s="24"/>
      <c r="P40" s="24"/>
      <c r="Q40" s="28"/>
      <c r="R40"/>
    </row>
    <row r="41" spans="1:18" s="14" customFormat="1" x14ac:dyDescent="0.35">
      <c r="A41" s="1"/>
      <c r="B41" s="2"/>
      <c r="C41" s="2"/>
      <c r="D41" s="2"/>
      <c r="E41" s="2"/>
      <c r="F41" s="2"/>
      <c r="G41" s="2"/>
      <c r="H41"/>
      <c r="K41" s="24"/>
      <c r="L41" s="24"/>
      <c r="M41" s="24"/>
      <c r="N41" s="24"/>
      <c r="O41" s="24"/>
      <c r="P41" s="24"/>
      <c r="Q41" s="28"/>
      <c r="R41"/>
    </row>
    <row r="42" spans="1:18" s="14" customFormat="1" x14ac:dyDescent="0.35">
      <c r="A42" s="1"/>
      <c r="B42" s="2"/>
      <c r="C42" s="2"/>
      <c r="D42" s="2"/>
      <c r="E42" s="2"/>
      <c r="F42" s="2"/>
      <c r="G42" s="2"/>
      <c r="H42"/>
      <c r="K42" s="24"/>
      <c r="L42" s="24"/>
      <c r="M42" s="24"/>
      <c r="N42" s="24"/>
      <c r="O42" s="24"/>
      <c r="P42" s="24"/>
      <c r="Q42" s="28"/>
      <c r="R42"/>
    </row>
    <row r="43" spans="1:18" s="14" customFormat="1" x14ac:dyDescent="0.35">
      <c r="A43" s="1"/>
      <c r="B43" s="2"/>
      <c r="C43" s="2"/>
      <c r="D43" s="2"/>
      <c r="E43" s="2"/>
      <c r="F43" s="2"/>
      <c r="G43" s="2"/>
      <c r="H43"/>
      <c r="K43" s="24"/>
      <c r="L43" s="24"/>
      <c r="M43" s="24"/>
      <c r="N43" s="24"/>
      <c r="O43" s="24"/>
      <c r="P43" s="24"/>
      <c r="Q43" s="28"/>
      <c r="R43"/>
    </row>
    <row r="44" spans="1:18" x14ac:dyDescent="0.35">
      <c r="Q44" s="28"/>
    </row>
    <row r="45" spans="1:18" x14ac:dyDescent="0.35">
      <c r="Q45" s="28"/>
    </row>
    <row r="46" spans="1:18" x14ac:dyDescent="0.35">
      <c r="Q46" s="28"/>
    </row>
    <row r="47" spans="1:18" ht="20.100000000000001" customHeight="1" x14ac:dyDescent="0.35">
      <c r="B47" s="2">
        <f>'STEP 4--Choose N'!B32</f>
        <v>0.1</v>
      </c>
      <c r="C47" s="2">
        <f>'STEP 4--Choose N'!C32</f>
        <v>0.02</v>
      </c>
      <c r="D47" s="2">
        <f>'STEP 4--Choose N'!D32</f>
        <v>0.08</v>
      </c>
      <c r="E47" s="2">
        <f>'STEP 4--Choose N'!E32</f>
        <v>0</v>
      </c>
      <c r="F47" s="2">
        <f>'STEP 4--Choose N'!F32</f>
        <v>0</v>
      </c>
      <c r="G47" s="2">
        <f>'STEP 4--Choose N'!G32</f>
        <v>0</v>
      </c>
      <c r="H47" s="2">
        <f>'STEP 4--Choose N'!H32</f>
        <v>0</v>
      </c>
      <c r="I47" s="14" t="e">
        <f>'STEP 4--Choose N'!#REF!</f>
        <v>#REF!</v>
      </c>
      <c r="J47" s="14">
        <f>'STEP 4--Choose N'!J32</f>
        <v>0</v>
      </c>
      <c r="K47" s="24" t="e">
        <f>('STEP 3--Nutrient Needs'!C11*'STEP 1--Field Information'!F23/B47)/R47</f>
        <v>#N/A</v>
      </c>
      <c r="L47" s="24" t="e">
        <f>K47*C47</f>
        <v>#N/A</v>
      </c>
      <c r="M47" s="24" t="e">
        <f>K47*D47</f>
        <v>#N/A</v>
      </c>
      <c r="Q47" s="28" t="e">
        <f>K47*B47*J47</f>
        <v>#N/A</v>
      </c>
      <c r="R47" s="2">
        <v>0.65</v>
      </c>
    </row>
    <row r="48" spans="1:18" x14ac:dyDescent="0.35">
      <c r="H48" s="14"/>
      <c r="R48" s="14"/>
    </row>
    <row r="49" spans="8:18" x14ac:dyDescent="0.35">
      <c r="H49" s="14"/>
      <c r="R49" s="14"/>
    </row>
    <row r="50" spans="8:18" x14ac:dyDescent="0.35">
      <c r="H50" s="14"/>
      <c r="R50" s="14"/>
    </row>
  </sheetData>
  <phoneticPr fontId="6" type="noConversion"/>
  <pageMargins left="0.75" right="0.75" top="1" bottom="1" header="0.5" footer="0.5"/>
  <pageSetup orientation="landscape" horizontalDpi="4294967292" verticalDpi="4294967292" r:id="rId1"/>
  <headerFooter>
    <oddHeader>&amp;CFertilizer Calculator</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tint="-0.249977111117893"/>
    <pageSetUpPr fitToPage="1"/>
  </sheetPr>
  <dimension ref="A1:J30"/>
  <sheetViews>
    <sheetView showGridLines="0" showRowColHeaders="0" view="pageLayout" workbookViewId="0">
      <selection activeCell="D2" sqref="D2:F2"/>
    </sheetView>
  </sheetViews>
  <sheetFormatPr defaultColWidth="11" defaultRowHeight="12.35" x14ac:dyDescent="0.35"/>
  <cols>
    <col min="1" max="1" width="21.1015625" style="1" customWidth="1"/>
    <col min="2" max="2" width="7.1015625" style="17" bestFit="1" customWidth="1"/>
    <col min="3" max="3" width="7.47265625" style="2" customWidth="1"/>
    <col min="4" max="4" width="9.26171875" style="2" customWidth="1"/>
    <col min="5" max="5" width="7.47265625" style="2" customWidth="1"/>
    <col min="6" max="6" width="6.734375" style="2" customWidth="1"/>
    <col min="7" max="7" width="6.3671875" style="2" customWidth="1"/>
    <col min="8" max="8" width="10.47265625" style="2" customWidth="1"/>
    <col min="9" max="9" width="11.3671875" style="14" customWidth="1"/>
    <col min="10" max="10" width="11" style="14"/>
  </cols>
  <sheetData>
    <row r="1" spans="1:10" ht="63" customHeight="1" thickBot="1" x14ac:dyDescent="0.4">
      <c r="A1" s="354" t="s">
        <v>185</v>
      </c>
      <c r="B1" s="355"/>
      <c r="C1" s="355"/>
      <c r="D1" s="355"/>
      <c r="E1" s="355"/>
      <c r="F1" s="355"/>
      <c r="G1" s="355"/>
      <c r="H1" s="355"/>
      <c r="I1" s="355"/>
      <c r="J1" s="356"/>
    </row>
    <row r="2" spans="1:10" ht="42.95" customHeight="1" thickBot="1" x14ac:dyDescent="0.4">
      <c r="A2" s="365" t="s">
        <v>186</v>
      </c>
      <c r="B2" s="366"/>
      <c r="C2" s="366"/>
      <c r="D2" s="367" t="s">
        <v>162</v>
      </c>
      <c r="E2" s="368"/>
      <c r="F2" s="369"/>
      <c r="G2"/>
      <c r="H2"/>
      <c r="I2" s="133"/>
      <c r="J2"/>
    </row>
    <row r="3" spans="1:10" ht="23.45" customHeight="1" x14ac:dyDescent="0.35">
      <c r="A3" s="370" t="s">
        <v>187</v>
      </c>
      <c r="B3" s="371"/>
      <c r="C3" s="159" t="e">
        <f>VLOOKUP('STEP 4--Choose N'!D2,'N lookup'!A2:Q47,12,FALSE)</f>
        <v>#N/A</v>
      </c>
      <c r="D3" s="162" t="s">
        <v>188</v>
      </c>
      <c r="E3" s="149"/>
      <c r="F3" s="133"/>
      <c r="G3"/>
      <c r="H3" s="133"/>
      <c r="I3" s="133"/>
      <c r="J3"/>
    </row>
    <row r="4" spans="1:10" ht="23.45" customHeight="1" x14ac:dyDescent="0.35">
      <c r="A4" s="372" t="s">
        <v>189</v>
      </c>
      <c r="B4" s="373"/>
      <c r="C4" s="160" t="e">
        <f>('STEP 3--Nutrient Needs'!D11)-VLOOKUP('STEP 4--Choose N'!D2,'N lookup'!A2:Q47,12,FALSE)</f>
        <v>#N/A</v>
      </c>
      <c r="D4" s="162" t="s">
        <v>188</v>
      </c>
      <c r="E4" s="149"/>
      <c r="F4" s="133"/>
      <c r="G4" s="133"/>
      <c r="H4" s="133"/>
      <c r="I4" s="133"/>
      <c r="J4" s="133"/>
    </row>
    <row r="5" spans="1:10" ht="23.45" customHeight="1" x14ac:dyDescent="0.35">
      <c r="A5" s="139"/>
      <c r="B5" s="161"/>
      <c r="C5" s="156"/>
      <c r="D5" s="135"/>
      <c r="E5" s="133"/>
      <c r="F5" s="133"/>
      <c r="G5" s="133"/>
      <c r="H5" s="133"/>
      <c r="I5" s="133"/>
      <c r="J5" s="133"/>
    </row>
    <row r="6" spans="1:10" ht="23.45" customHeight="1" x14ac:dyDescent="0.5">
      <c r="A6" s="363" t="s">
        <v>190</v>
      </c>
      <c r="B6" s="364"/>
      <c r="C6" s="364"/>
      <c r="D6" s="364"/>
      <c r="E6" s="364"/>
      <c r="F6" s="364"/>
      <c r="G6" s="364"/>
      <c r="H6" s="364"/>
      <c r="I6" s="364"/>
      <c r="J6" s="364"/>
    </row>
    <row r="7" spans="1:10" ht="30.7" x14ac:dyDescent="0.35">
      <c r="A7" s="119" t="str">
        <f>'Appendix--Fertilizer Costs'!A1</f>
        <v>MATERIAL</v>
      </c>
      <c r="B7" s="120" t="str">
        <f>'Appendix--Fertilizer Costs'!B1</f>
        <v>% N</v>
      </c>
      <c r="C7" s="120" t="str">
        <f>'Appendix--Fertilizer Costs'!C1</f>
        <v>% P2O5</v>
      </c>
      <c r="D7" s="120" t="str">
        <f>'Appendix--Fertilizer Costs'!D1</f>
        <v>% K20</v>
      </c>
      <c r="E7" s="120" t="str">
        <f>'Appendix--Fertilizer Costs'!E1</f>
        <v>% Ca</v>
      </c>
      <c r="F7" s="120" t="str">
        <f>'Appendix--Fertilizer Costs'!F1</f>
        <v>% Mg</v>
      </c>
      <c r="G7" s="120" t="str">
        <f>'Appendix--Fertilizer Costs'!G1</f>
        <v>% S</v>
      </c>
      <c r="H7" s="119" t="str">
        <f>'Appendix--Fertilizer Costs'!H1</f>
        <v>Release Rate</v>
      </c>
      <c r="I7" s="121" t="str">
        <f>'Appendix--Fertilizer Costs'!I1</f>
        <v>Price per 50 lb</v>
      </c>
      <c r="J7" s="121" t="str">
        <f>'Appendix--Fertilizer Costs'!K1</f>
        <v>$/lb P</v>
      </c>
    </row>
    <row r="8" spans="1:10" ht="15.35" x14ac:dyDescent="0.35">
      <c r="A8" s="175" t="str">
        <f>'Appendix--Fertilizer Costs'!A5</f>
        <v>Bone meal, OG</v>
      </c>
      <c r="B8" s="292">
        <f>'Appendix--Fertilizer Costs'!B5</f>
        <v>0.03</v>
      </c>
      <c r="C8" s="292">
        <f>'Appendix--Fertilizer Costs'!C5</f>
        <v>0.15</v>
      </c>
      <c r="D8" s="292">
        <f>'Appendix--Fertilizer Costs'!D5</f>
        <v>0</v>
      </c>
      <c r="E8" s="292">
        <f>'Appendix--Fertilizer Costs'!E5</f>
        <v>0</v>
      </c>
      <c r="F8" s="292">
        <f>'Appendix--Fertilizer Costs'!F5</f>
        <v>0</v>
      </c>
      <c r="G8" s="292">
        <f>'Appendix--Fertilizer Costs'!G5</f>
        <v>0</v>
      </c>
      <c r="H8" s="293" t="str">
        <f>'Appendix--Fertilizer Costs'!H5</f>
        <v>med</v>
      </c>
      <c r="I8" s="294">
        <f>'Appendix--Fertilizer Costs'!I5</f>
        <v>71</v>
      </c>
      <c r="J8" s="294">
        <f>'Appendix--Fertilizer Costs'!K5</f>
        <v>9.4666666666666668</v>
      </c>
    </row>
    <row r="9" spans="1:10" ht="15.35" x14ac:dyDescent="0.35">
      <c r="A9" s="175" t="str">
        <f>'Appendix--Fertilizer Costs'!A6</f>
        <v>Bone char</v>
      </c>
      <c r="B9" s="292">
        <f>'Appendix--Fertilizer Costs'!B6</f>
        <v>0</v>
      </c>
      <c r="C9" s="292">
        <f>'Appendix--Fertilizer Costs'!C6</f>
        <v>0.16</v>
      </c>
      <c r="D9" s="292">
        <f>'Appendix--Fertilizer Costs'!D6</f>
        <v>0</v>
      </c>
      <c r="E9" s="292">
        <f>'Appendix--Fertilizer Costs'!E6</f>
        <v>0</v>
      </c>
      <c r="F9" s="292">
        <f>'Appendix--Fertilizer Costs'!F6</f>
        <v>0</v>
      </c>
      <c r="G9" s="292">
        <f>'Appendix--Fertilizer Costs'!G6</f>
        <v>0</v>
      </c>
      <c r="H9" s="293" t="str">
        <f>'Appendix--Fertilizer Costs'!H6</f>
        <v>rapid</v>
      </c>
      <c r="I9" s="294">
        <f>'Appendix--Fertilizer Costs'!I6</f>
        <v>47.2</v>
      </c>
      <c r="J9" s="294">
        <f>'Appendix--Fertilizer Costs'!K6</f>
        <v>5.9</v>
      </c>
    </row>
    <row r="10" spans="1:10" s="14" customFormat="1" ht="46" x14ac:dyDescent="0.35">
      <c r="A10" s="175" t="str">
        <f>'Appendix--Fertilizer Costs'!A10</f>
        <v>Dehydrated Poultry Manure (Kreher's 4-3-10)</v>
      </c>
      <c r="B10" s="292">
        <f>'Appendix--Fertilizer Costs'!B10</f>
        <v>0.04</v>
      </c>
      <c r="C10" s="292">
        <f>'Appendix--Fertilizer Costs'!C10</f>
        <v>0.03</v>
      </c>
      <c r="D10" s="292">
        <f>'Appendix--Fertilizer Costs'!D10</f>
        <v>0.1</v>
      </c>
      <c r="E10" s="292">
        <f>'Appendix--Fertilizer Costs'!E10</f>
        <v>0</v>
      </c>
      <c r="F10" s="292">
        <f>'Appendix--Fertilizer Costs'!F10</f>
        <v>0</v>
      </c>
      <c r="G10" s="292">
        <f>'Appendix--Fertilizer Costs'!G10</f>
        <v>0</v>
      </c>
      <c r="H10" s="293" t="str">
        <f>'Appendix--Fertilizer Costs'!H10</f>
        <v>med</v>
      </c>
      <c r="I10" s="294">
        <f>'Appendix--Fertilizer Costs'!I10</f>
        <v>22.5</v>
      </c>
      <c r="J10" s="294">
        <f>'Appendix--Fertilizer Costs'!K10</f>
        <v>15</v>
      </c>
    </row>
    <row r="11" spans="1:10" ht="46" x14ac:dyDescent="0.35">
      <c r="A11" s="295" t="str">
        <f>'Appendix--Fertilizer Costs'!A11</f>
        <v>Dehydrated Poultry Manure (Kreher's 7-2-6)</v>
      </c>
      <c r="B11" s="292">
        <f>'Appendix--Fertilizer Costs'!B11</f>
        <v>7.0000000000000007E-2</v>
      </c>
      <c r="C11" s="292">
        <f>'Appendix--Fertilizer Costs'!C11</f>
        <v>0.02</v>
      </c>
      <c r="D11" s="292">
        <f>'Appendix--Fertilizer Costs'!D11</f>
        <v>0.06</v>
      </c>
      <c r="E11" s="292">
        <f>'Appendix--Fertilizer Costs'!E11</f>
        <v>0</v>
      </c>
      <c r="F11" s="292">
        <f>'Appendix--Fertilizer Costs'!F11</f>
        <v>0</v>
      </c>
      <c r="G11" s="292">
        <f>'Appendix--Fertilizer Costs'!G11</f>
        <v>0</v>
      </c>
      <c r="H11" s="293" t="str">
        <f>'Appendix--Fertilizer Costs'!H11</f>
        <v>med</v>
      </c>
      <c r="I11" s="294">
        <f>'Appendix--Fertilizer Costs'!I11</f>
        <v>28.75</v>
      </c>
      <c r="J11" s="294">
        <f>'Appendix--Fertilizer Costs'!K11</f>
        <v>0</v>
      </c>
    </row>
    <row r="12" spans="1:10" ht="46" x14ac:dyDescent="0.35">
      <c r="A12" s="295" t="str">
        <f>'Appendix--Fertilizer Costs'!A12</f>
        <v>Dehydrated Poultry Manure (Kreher's 8-2-2)</v>
      </c>
      <c r="B12" s="292">
        <f>'Appendix--Fertilizer Costs'!B12</f>
        <v>0.08</v>
      </c>
      <c r="C12" s="292">
        <f>'Appendix--Fertilizer Costs'!C12</f>
        <v>0.02</v>
      </c>
      <c r="D12" s="292">
        <f>'Appendix--Fertilizer Costs'!D12</f>
        <v>0.02</v>
      </c>
      <c r="E12" s="292">
        <f>'Appendix--Fertilizer Costs'!E12</f>
        <v>0</v>
      </c>
      <c r="F12" s="292">
        <f>'Appendix--Fertilizer Costs'!F12</f>
        <v>0</v>
      </c>
      <c r="G12" s="292">
        <f>'Appendix--Fertilizer Costs'!G12</f>
        <v>0</v>
      </c>
      <c r="H12" s="293" t="str">
        <f>'Appendix--Fertilizer Costs'!H12</f>
        <v>med</v>
      </c>
      <c r="I12" s="294">
        <f>'Appendix--Fertilizer Costs'!I12</f>
        <v>28.75</v>
      </c>
      <c r="J12" s="294">
        <f>'Appendix--Fertilizer Costs'!K12</f>
        <v>28.75</v>
      </c>
    </row>
    <row r="13" spans="1:10" ht="30.7" x14ac:dyDescent="0.35">
      <c r="A13" s="175" t="str">
        <f>'Appendix--Fertilizer Costs'!A19</f>
        <v>Grioux's Composted Poultry Manure</v>
      </c>
      <c r="B13" s="292">
        <f>'Appendix--Fertilizer Costs'!B19</f>
        <v>0.02</v>
      </c>
      <c r="C13" s="292">
        <f>'Appendix--Fertilizer Costs'!C19</f>
        <v>0.03</v>
      </c>
      <c r="D13" s="292">
        <f>'Appendix--Fertilizer Costs'!D19</f>
        <v>1.4999999999999999E-2</v>
      </c>
      <c r="E13" s="292">
        <f>'Appendix--Fertilizer Costs'!E19</f>
        <v>7.0000000000000007E-2</v>
      </c>
      <c r="F13" s="292">
        <f>'Appendix--Fertilizer Costs'!F19</f>
        <v>0.01</v>
      </c>
      <c r="G13" s="292">
        <f>'Appendix--Fertilizer Costs'!G19</f>
        <v>0.05</v>
      </c>
      <c r="H13" s="293" t="str">
        <f>'Appendix--Fertilizer Costs'!H19</f>
        <v>med</v>
      </c>
      <c r="I13" s="294">
        <f>'Appendix--Fertilizer Costs'!I19</f>
        <v>1</v>
      </c>
      <c r="J13" s="294">
        <f>'Appendix--Fertilizer Costs'!K19</f>
        <v>0.66666666666666663</v>
      </c>
    </row>
    <row r="14" spans="1:10" ht="15.35" x14ac:dyDescent="0.35">
      <c r="A14" s="175" t="str">
        <f>'Appendix--Fertilizer Costs'!A20</f>
        <v>Giroux's pellets</v>
      </c>
      <c r="B14" s="292">
        <f>'Appendix--Fertilizer Costs'!B20</f>
        <v>0.04</v>
      </c>
      <c r="C14" s="292">
        <f>'Appendix--Fertilizer Costs'!C20</f>
        <v>0.03</v>
      </c>
      <c r="D14" s="292">
        <f>'Appendix--Fertilizer Costs'!D20</f>
        <v>0.02</v>
      </c>
      <c r="E14" s="292">
        <f>'Appendix--Fertilizer Costs'!E20</f>
        <v>0</v>
      </c>
      <c r="F14" s="292">
        <f>'Appendix--Fertilizer Costs'!F20</f>
        <v>0</v>
      </c>
      <c r="G14" s="292">
        <f>'Appendix--Fertilizer Costs'!G20</f>
        <v>0</v>
      </c>
      <c r="H14" s="292" t="str">
        <f>'Appendix--Fertilizer Costs'!H20</f>
        <v>med</v>
      </c>
      <c r="I14" s="296">
        <f>'Appendix--Fertilizer Costs'!I20</f>
        <v>8.3000000000000007</v>
      </c>
      <c r="J14" s="296">
        <f>'Appendix--Fertilizer Costs'!K20</f>
        <v>5.5333333333333341</v>
      </c>
    </row>
    <row r="15" spans="1:10" s="14" customFormat="1" ht="15.35" x14ac:dyDescent="0.35">
      <c r="A15" s="175" t="str">
        <f>'Appendix--Fertilizer Costs'!A30</f>
        <v>Naturesafe</v>
      </c>
      <c r="B15" s="292">
        <f>'Appendix--Fertilizer Costs'!B30</f>
        <v>0.1</v>
      </c>
      <c r="C15" s="292">
        <f>'Appendix--Fertilizer Costs'!C30</f>
        <v>0.02</v>
      </c>
      <c r="D15" s="292">
        <f>'Appendix--Fertilizer Costs'!D30</f>
        <v>0.08</v>
      </c>
      <c r="E15" s="292">
        <f>'Appendix--Fertilizer Costs'!E30</f>
        <v>0</v>
      </c>
      <c r="F15" s="292">
        <f>'Appendix--Fertilizer Costs'!F30</f>
        <v>0</v>
      </c>
      <c r="G15" s="292">
        <f>'Appendix--Fertilizer Costs'!G30</f>
        <v>0</v>
      </c>
      <c r="H15" s="293">
        <f>'Appendix--Fertilizer Costs'!H30</f>
        <v>0</v>
      </c>
      <c r="I15" s="294">
        <f>'Appendix--Fertilizer Costs'!I30</f>
        <v>36.25</v>
      </c>
      <c r="J15" s="294">
        <f>'Appendix--Fertilizer Costs'!K30</f>
        <v>0</v>
      </c>
    </row>
    <row r="16" spans="1:10" s="14" customFormat="1" ht="15.35" x14ac:dyDescent="0.35">
      <c r="A16" s="295" t="str">
        <f>'Appendix--Fertilizer Costs'!A33</f>
        <v>Potassium chloride</v>
      </c>
      <c r="B16" s="292">
        <f>'Appendix--Fertilizer Costs'!B33</f>
        <v>0</v>
      </c>
      <c r="C16" s="292">
        <f>'Appendix--Fertilizer Costs'!C33</f>
        <v>0</v>
      </c>
      <c r="D16" s="292">
        <f>'Appendix--Fertilizer Costs'!D33</f>
        <v>0.6</v>
      </c>
      <c r="E16" s="292">
        <f>'Appendix--Fertilizer Costs'!E33</f>
        <v>0</v>
      </c>
      <c r="F16" s="292">
        <f>'Appendix--Fertilizer Costs'!F33</f>
        <v>0</v>
      </c>
      <c r="G16" s="292">
        <f>'Appendix--Fertilizer Costs'!G33</f>
        <v>0</v>
      </c>
      <c r="H16" s="293" t="str">
        <f>'Appendix--Fertilizer Costs'!H33</f>
        <v>rapid</v>
      </c>
      <c r="I16" s="294">
        <f>'Appendix--Fertilizer Costs'!I33</f>
        <v>18.5</v>
      </c>
      <c r="J16" s="294">
        <f>'Appendix--Fertilizer Costs'!K33</f>
        <v>0</v>
      </c>
    </row>
    <row r="17" spans="1:10" s="14" customFormat="1" ht="15.35" x14ac:dyDescent="0.35">
      <c r="A17" s="297" t="str">
        <f>'Appendix--Fertilizer Costs'!A36</f>
        <v>Solubor</v>
      </c>
      <c r="B17" s="298"/>
      <c r="C17" s="298"/>
      <c r="D17" s="298"/>
      <c r="E17" s="298"/>
      <c r="F17" s="298"/>
      <c r="G17" s="298"/>
      <c r="H17" s="299"/>
      <c r="I17" s="300"/>
      <c r="J17" s="300"/>
    </row>
    <row r="18" spans="1:10" s="14" customFormat="1" ht="30.7" x14ac:dyDescent="0.35">
      <c r="A18" s="175" t="str">
        <f>'Appendix--Fertilizer Costs'!A37</f>
        <v>Soybean meal</v>
      </c>
      <c r="B18" s="292">
        <f>'Appendix--Fertilizer Costs'!B37</f>
        <v>7.0000000000000007E-2</v>
      </c>
      <c r="C18" s="292">
        <f>'Appendix--Fertilizer Costs'!C37</f>
        <v>0.01</v>
      </c>
      <c r="D18" s="292">
        <f>'Appendix--Fertilizer Costs'!D37</f>
        <v>0.02</v>
      </c>
      <c r="E18" s="292">
        <f>'Appendix--Fertilizer Costs'!E37</f>
        <v>0</v>
      </c>
      <c r="F18" s="292">
        <f>'Appendix--Fertilizer Costs'!F37</f>
        <v>0.03</v>
      </c>
      <c r="G18" s="292">
        <f>'Appendix--Fertilizer Costs'!G37</f>
        <v>0</v>
      </c>
      <c r="H18" s="293" t="str">
        <f>'Appendix--Fertilizer Costs'!H37</f>
        <v>slow/ med</v>
      </c>
      <c r="I18" s="294">
        <f>'Appendix--Fertilizer Costs'!I37</f>
        <v>17</v>
      </c>
      <c r="J18" s="294">
        <f>'Appendix--Fertilizer Costs'!K37</f>
        <v>34</v>
      </c>
    </row>
    <row r="19" spans="1:10" s="14" customFormat="1" ht="30.7" x14ac:dyDescent="0.35">
      <c r="A19" s="175" t="str">
        <f>'Appendix--Fertilizer Costs'!A38</f>
        <v>Soybean meal, OG</v>
      </c>
      <c r="B19" s="292">
        <f>'Appendix--Fertilizer Costs'!B38</f>
        <v>7.0000000000000007E-2</v>
      </c>
      <c r="C19" s="292">
        <f>'Appendix--Fertilizer Costs'!C38</f>
        <v>0.01</v>
      </c>
      <c r="D19" s="292">
        <f>'Appendix--Fertilizer Costs'!D38</f>
        <v>0.02</v>
      </c>
      <c r="E19" s="292">
        <f>'Appendix--Fertilizer Costs'!E38</f>
        <v>0</v>
      </c>
      <c r="F19" s="292">
        <f>'Appendix--Fertilizer Costs'!F38</f>
        <v>0</v>
      </c>
      <c r="G19" s="292">
        <f>'Appendix--Fertilizer Costs'!G38</f>
        <v>0</v>
      </c>
      <c r="H19" s="293" t="str">
        <f>'Appendix--Fertilizer Costs'!H38</f>
        <v>slow/ med</v>
      </c>
      <c r="I19" s="294">
        <f>'Appendix--Fertilizer Costs'!I38</f>
        <v>43.6</v>
      </c>
      <c r="J19" s="294">
        <f>'Appendix--Fertilizer Costs'!K38</f>
        <v>87.2</v>
      </c>
    </row>
    <row r="20" spans="1:10" ht="15.35" x14ac:dyDescent="0.35">
      <c r="A20" s="175" t="str">
        <f>'Appendix--Fertilizer Costs'!A40</f>
        <v>SOP soluble</v>
      </c>
      <c r="B20" s="292">
        <f>'Appendix--Fertilizer Costs'!B40</f>
        <v>0</v>
      </c>
      <c r="C20" s="292">
        <f>'Appendix--Fertilizer Costs'!C40</f>
        <v>0</v>
      </c>
      <c r="D20" s="292">
        <f>'Appendix--Fertilizer Costs'!D40</f>
        <v>0.52</v>
      </c>
      <c r="E20" s="292">
        <f>'Appendix--Fertilizer Costs'!E40</f>
        <v>0</v>
      </c>
      <c r="F20" s="292">
        <f>'Appendix--Fertilizer Costs'!F40</f>
        <v>0</v>
      </c>
      <c r="G20" s="292">
        <f>'Appendix--Fertilizer Costs'!G40</f>
        <v>0</v>
      </c>
      <c r="H20" s="293">
        <f>'Appendix--Fertilizer Costs'!H40</f>
        <v>0</v>
      </c>
      <c r="I20" s="294">
        <f>'Appendix--Fertilizer Costs'!I40</f>
        <v>54.3</v>
      </c>
      <c r="J20" s="294">
        <f>'Appendix--Fertilizer Costs'!K40</f>
        <v>0</v>
      </c>
    </row>
    <row r="21" spans="1:10" ht="15.35" x14ac:dyDescent="0.35">
      <c r="A21" s="175" t="str">
        <f>'Appendix--Fertilizer Costs'!A42</f>
        <v>Urea</v>
      </c>
      <c r="B21" s="292">
        <f>'Appendix--Fertilizer Costs'!B42</f>
        <v>0.46</v>
      </c>
      <c r="C21" s="292">
        <f>'Appendix--Fertilizer Costs'!C42</f>
        <v>0</v>
      </c>
      <c r="D21" s="292">
        <f>'Appendix--Fertilizer Costs'!D42</f>
        <v>0</v>
      </c>
      <c r="E21" s="292">
        <f>'Appendix--Fertilizer Costs'!E42</f>
        <v>0</v>
      </c>
      <c r="F21" s="292">
        <f>'Appendix--Fertilizer Costs'!F42</f>
        <v>0</v>
      </c>
      <c r="G21" s="292">
        <f>'Appendix--Fertilizer Costs'!G42</f>
        <v>0</v>
      </c>
      <c r="H21" s="293" t="str">
        <f>'Appendix--Fertilizer Costs'!H42</f>
        <v>rapid</v>
      </c>
      <c r="I21" s="294">
        <f>'Appendix--Fertilizer Costs'!I42</f>
        <v>18.75</v>
      </c>
      <c r="J21" s="294">
        <f>'Appendix--Fertilizer Costs'!K42</f>
        <v>0</v>
      </c>
    </row>
    <row r="22" spans="1:10" ht="15.95" customHeight="1" x14ac:dyDescent="0.45">
      <c r="A22" s="301" t="s">
        <v>162</v>
      </c>
      <c r="B22" s="302">
        <v>0</v>
      </c>
      <c r="C22" s="302">
        <v>0</v>
      </c>
      <c r="D22" s="302">
        <v>0</v>
      </c>
      <c r="E22" s="302">
        <v>0</v>
      </c>
      <c r="F22" s="302">
        <v>0</v>
      </c>
      <c r="G22" s="302">
        <v>0</v>
      </c>
      <c r="H22" s="303"/>
      <c r="I22" s="64">
        <v>0</v>
      </c>
      <c r="J22" s="93">
        <v>0</v>
      </c>
    </row>
    <row r="23" spans="1:10" ht="54.75" customHeight="1" x14ac:dyDescent="0.45">
      <c r="A23" s="304" t="s">
        <v>191</v>
      </c>
      <c r="B23" s="305"/>
      <c r="C23" s="305"/>
      <c r="D23" s="305"/>
      <c r="E23" s="305"/>
      <c r="F23" s="305"/>
      <c r="G23" s="305"/>
      <c r="H23" s="306"/>
      <c r="I23" s="306"/>
      <c r="J23" s="122" t="e">
        <f>I23*2/(C23*100)</f>
        <v>#DIV/0!</v>
      </c>
    </row>
    <row r="24" spans="1:10" x14ac:dyDescent="0.35">
      <c r="B24" s="2"/>
      <c r="H24" s="14"/>
      <c r="J24"/>
    </row>
    <row r="25" spans="1:10" ht="25.5" customHeight="1" x14ac:dyDescent="0.35">
      <c r="H25" s="14"/>
      <c r="J25"/>
    </row>
    <row r="26" spans="1:10" x14ac:dyDescent="0.35">
      <c r="H26" s="14"/>
      <c r="J26"/>
    </row>
    <row r="27" spans="1:10" ht="28.5" customHeight="1" x14ac:dyDescent="0.35">
      <c r="B27" s="2"/>
      <c r="H27" s="14"/>
      <c r="J27"/>
    </row>
    <row r="28" spans="1:10" x14ac:dyDescent="0.35">
      <c r="B28" s="2"/>
      <c r="H28" s="14"/>
      <c r="J28"/>
    </row>
    <row r="29" spans="1:10" x14ac:dyDescent="0.35">
      <c r="A29" s="351" t="s">
        <v>164</v>
      </c>
      <c r="B29" s="352"/>
      <c r="C29" s="352"/>
      <c r="D29" s="352"/>
      <c r="E29" s="352"/>
      <c r="F29" s="352"/>
      <c r="G29" s="352"/>
      <c r="H29" s="353"/>
      <c r="J29"/>
    </row>
    <row r="30" spans="1:10" x14ac:dyDescent="0.35">
      <c r="B30" s="2"/>
      <c r="H30" s="14"/>
      <c r="J30"/>
    </row>
  </sheetData>
  <mergeCells count="7">
    <mergeCell ref="A1:J1"/>
    <mergeCell ref="A29:H29"/>
    <mergeCell ref="A2:C2"/>
    <mergeCell ref="D2:F2"/>
    <mergeCell ref="A3:B3"/>
    <mergeCell ref="A4:B4"/>
    <mergeCell ref="A6:J6"/>
  </mergeCells>
  <phoneticPr fontId="6" type="noConversion"/>
  <dataValidations xWindow="245" yWindow="638" count="1">
    <dataValidation type="list" allowBlank="1" showInputMessage="1" showErrorMessage="1" prompt="Select Fertilizer from Menu" sqref="D2" xr:uid="{00000000-0002-0000-0700-000000000000}">
      <formula1>$A$8:$A$23</formula1>
    </dataValidation>
  </dataValidations>
  <pageMargins left="0.75" right="0.75" top="1" bottom="1" header="0.5" footer="0.5"/>
  <pageSetup scale="58" orientation="landscape" horizontalDpi="4294967292" verticalDpi="4294967292" r:id="rId1"/>
  <headerFooter>
    <oddHeader>&amp;L&amp;"Verdana,Bold"&amp;14Choose P Amendments</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17"/>
  <sheetViews>
    <sheetView view="pageLayout" zoomScale="80" zoomScalePageLayoutView="80" workbookViewId="0">
      <selection activeCell="A2" sqref="A2"/>
    </sheetView>
  </sheetViews>
  <sheetFormatPr defaultColWidth="11" defaultRowHeight="12.35" x14ac:dyDescent="0.35"/>
  <cols>
    <col min="1" max="1" width="18.26171875" style="1" customWidth="1"/>
    <col min="2" max="3" width="7.47265625" style="2" customWidth="1"/>
    <col min="4" max="4" width="6.26171875" style="2" customWidth="1"/>
    <col min="5" max="5" width="5.26171875" style="2" customWidth="1"/>
    <col min="6" max="6" width="4.734375" style="2" customWidth="1"/>
    <col min="7" max="7" width="5.734375" style="2" customWidth="1"/>
    <col min="8" max="8" width="9.47265625" customWidth="1"/>
    <col min="9" max="9" width="10.734375" style="14" customWidth="1"/>
    <col min="10" max="10" width="8.89453125" style="14" customWidth="1"/>
    <col min="11" max="11" width="11" style="24"/>
    <col min="12" max="12" width="27.734375" style="25" customWidth="1"/>
    <col min="13" max="15" width="11" style="25"/>
  </cols>
  <sheetData>
    <row r="1" spans="1:16" s="23" customFormat="1" ht="117.95" customHeight="1" x14ac:dyDescent="0.35">
      <c r="A1" s="307" t="str">
        <f>'STEP 5--Choose P'!A7</f>
        <v>MATERIAL</v>
      </c>
      <c r="B1" s="307" t="str">
        <f>'STEP 5--Choose P'!B7</f>
        <v>% N</v>
      </c>
      <c r="C1" s="307" t="str">
        <f>'STEP 5--Choose P'!C7</f>
        <v>% P2O5</v>
      </c>
      <c r="D1" s="307" t="str">
        <f>'STEP 5--Choose P'!D7</f>
        <v>% K20</v>
      </c>
      <c r="E1" s="307" t="str">
        <f>'STEP 5--Choose P'!E7</f>
        <v>% Ca</v>
      </c>
      <c r="F1" s="307" t="str">
        <f>'STEP 5--Choose P'!F7</f>
        <v>% Mg</v>
      </c>
      <c r="G1" s="307" t="str">
        <f>'STEP 5--Choose P'!G7</f>
        <v>% S</v>
      </c>
      <c r="H1" s="307" t="str">
        <f>'STEP 5--Choose P'!H7</f>
        <v>Release Rate</v>
      </c>
      <c r="I1" s="307" t="str">
        <f>'STEP 5--Choose P'!I7</f>
        <v>Price per 50 lb</v>
      </c>
      <c r="J1" s="307" t="str">
        <f>'STEP 5--Choose P'!J7</f>
        <v>$/lb P</v>
      </c>
      <c r="K1" s="308" t="s">
        <v>192</v>
      </c>
      <c r="L1" s="309" t="s">
        <v>193</v>
      </c>
      <c r="M1" s="309" t="s">
        <v>178</v>
      </c>
      <c r="N1" s="309" t="s">
        <v>179</v>
      </c>
      <c r="O1" s="309" t="s">
        <v>180</v>
      </c>
      <c r="P1" s="310" t="s">
        <v>194</v>
      </c>
    </row>
    <row r="2" spans="1:16" x14ac:dyDescent="0.35">
      <c r="A2" s="18" t="str">
        <f>'STEP 5--Choose P'!A8</f>
        <v>Bone meal, OG</v>
      </c>
      <c r="C2" s="2">
        <v>0.16</v>
      </c>
      <c r="H2" t="s">
        <v>195</v>
      </c>
      <c r="I2" s="14">
        <f>'STEP 5--Choose P'!I8</f>
        <v>71</v>
      </c>
      <c r="J2" s="14">
        <f>I2*2/(C2*100)</f>
        <v>8.875</v>
      </c>
      <c r="K2" s="24" t="e">
        <f>('STEP 3--Nutrient Needs'!D11/C2)-(VLOOKUP('STEP 4--Choose N'!D2,'N lookup'!A2:Q47,12,FALSE)/C2)</f>
        <v>#N/A</v>
      </c>
      <c r="L2" s="25" t="e">
        <f>K2*D2</f>
        <v>#N/A</v>
      </c>
      <c r="P2" s="14" t="e">
        <f t="shared" ref="P2:P17" si="0">(K2*I2)/50</f>
        <v>#N/A</v>
      </c>
    </row>
    <row r="3" spans="1:16" x14ac:dyDescent="0.35">
      <c r="A3" s="18" t="str">
        <f>'STEP 5--Choose P'!A9</f>
        <v>Bone char</v>
      </c>
      <c r="B3" s="2">
        <v>0.03</v>
      </c>
      <c r="C3" s="2">
        <v>0.22</v>
      </c>
      <c r="H3" t="s">
        <v>195</v>
      </c>
      <c r="I3" s="14">
        <f>'STEP 5--Choose P'!I9</f>
        <v>47.2</v>
      </c>
      <c r="J3" s="14">
        <f>78/22</f>
        <v>3.5454545454545454</v>
      </c>
      <c r="K3" s="24" t="e">
        <f>('STEP 3--Nutrient Needs'!D11/C3)-VLOOKUP('STEP 4--Choose N'!D2,'N lookup'!A2:Q47,12,FALSE)/C3</f>
        <v>#N/A</v>
      </c>
      <c r="L3" s="25" t="e">
        <f t="shared" ref="L3:L16" si="1">K3*D3</f>
        <v>#N/A</v>
      </c>
      <c r="P3" s="14" t="e">
        <f t="shared" si="0"/>
        <v>#N/A</v>
      </c>
    </row>
    <row r="4" spans="1:16" ht="37" x14ac:dyDescent="0.35">
      <c r="A4" s="18" t="str">
        <f>'STEP 5--Choose P'!A10</f>
        <v>Dehydrated Poultry Manure (Kreher's 4-3-10)</v>
      </c>
      <c r="B4" s="86">
        <f>'STEP 5--Choose P'!B10</f>
        <v>0.04</v>
      </c>
      <c r="C4" s="86">
        <f>'STEP 5--Choose P'!C10</f>
        <v>0.03</v>
      </c>
      <c r="D4" s="86">
        <f>'STEP 5--Choose P'!D10</f>
        <v>0.1</v>
      </c>
      <c r="E4" s="86">
        <f>'STEP 5--Choose P'!E10</f>
        <v>0</v>
      </c>
      <c r="F4" s="86">
        <f>'STEP 5--Choose P'!F10</f>
        <v>0</v>
      </c>
      <c r="G4" s="86">
        <f>'STEP 5--Choose P'!G10</f>
        <v>0</v>
      </c>
      <c r="H4" s="18" t="str">
        <f>'STEP 5--Choose P'!H10</f>
        <v>med</v>
      </c>
      <c r="I4" s="87">
        <f>'STEP 5--Choose P'!I10</f>
        <v>22.5</v>
      </c>
      <c r="J4" s="87">
        <f>'STEP 5--Choose P'!J10</f>
        <v>15</v>
      </c>
      <c r="K4" s="24" t="e">
        <f>('STEP 3--Nutrient Needs'!D11/C4)-VLOOKUP('STEP 4--Choose N'!D2,'N lookup'!A2:Q47,12,FALSE)/C4</f>
        <v>#N/A</v>
      </c>
      <c r="L4" s="25" t="e">
        <f t="shared" si="1"/>
        <v>#N/A</v>
      </c>
      <c r="P4" s="14" t="e">
        <f t="shared" si="0"/>
        <v>#N/A</v>
      </c>
    </row>
    <row r="5" spans="1:16" s="14" customFormat="1" ht="70.5" customHeight="1" x14ac:dyDescent="0.35">
      <c r="A5" s="18" t="str">
        <f>'STEP 5--Choose P'!A11</f>
        <v>Dehydrated Poultry Manure (Kreher's 7-2-6)</v>
      </c>
      <c r="B5" s="86">
        <f>'STEP 5--Choose P'!B11</f>
        <v>7.0000000000000007E-2</v>
      </c>
      <c r="C5" s="86">
        <f>'STEP 5--Choose P'!C11</f>
        <v>0.02</v>
      </c>
      <c r="D5" s="86">
        <f>'STEP 5--Choose P'!D11</f>
        <v>0.06</v>
      </c>
      <c r="E5" s="86">
        <f>'STEP 5--Choose P'!E11</f>
        <v>0</v>
      </c>
      <c r="F5" s="86">
        <f>'STEP 5--Choose P'!F11</f>
        <v>0</v>
      </c>
      <c r="G5" s="86">
        <f>'STEP 5--Choose P'!G11</f>
        <v>0</v>
      </c>
      <c r="H5" s="18" t="str">
        <f>'STEP 5--Choose P'!H11</f>
        <v>med</v>
      </c>
      <c r="I5" s="87">
        <f>'STEP 5--Choose P'!I11</f>
        <v>28.75</v>
      </c>
      <c r="J5" s="87">
        <f>'STEP 5--Choose P'!J11</f>
        <v>0</v>
      </c>
      <c r="K5" s="24" t="e">
        <f>('STEP 3--Nutrient Needs'!D11/C5)-VLOOKUP('STEP 4--Choose N'!D2,'N lookup'!A2:Q47,12,FALSE)/C5</f>
        <v>#N/A</v>
      </c>
      <c r="L5" s="25" t="e">
        <f t="shared" si="1"/>
        <v>#N/A</v>
      </c>
      <c r="M5" s="25"/>
      <c r="N5" s="25"/>
      <c r="O5" s="25"/>
      <c r="P5" s="14" t="e">
        <f t="shared" si="0"/>
        <v>#N/A</v>
      </c>
    </row>
    <row r="6" spans="1:16" ht="37" x14ac:dyDescent="0.35">
      <c r="A6" s="18" t="str">
        <f>'STEP 5--Choose P'!A12</f>
        <v>Dehydrated Poultry Manure (Kreher's 8-2-2)</v>
      </c>
      <c r="B6" s="86">
        <f>'STEP 5--Choose P'!B12</f>
        <v>0.08</v>
      </c>
      <c r="C6" s="86">
        <f>'STEP 5--Choose P'!C12</f>
        <v>0.02</v>
      </c>
      <c r="D6" s="86">
        <f>'STEP 5--Choose P'!D12</f>
        <v>0.02</v>
      </c>
      <c r="E6" s="86">
        <f>'STEP 5--Choose P'!E12</f>
        <v>0</v>
      </c>
      <c r="F6" s="86">
        <f>'STEP 5--Choose P'!F12</f>
        <v>0</v>
      </c>
      <c r="G6" s="86">
        <f>'STEP 5--Choose P'!G12</f>
        <v>0</v>
      </c>
      <c r="H6" s="18" t="str">
        <f>'STEP 5--Choose P'!H12</f>
        <v>med</v>
      </c>
      <c r="I6" s="87">
        <f>'STEP 5--Choose P'!I12</f>
        <v>28.75</v>
      </c>
      <c r="J6" s="87">
        <f>'STEP 5--Choose P'!J12</f>
        <v>28.75</v>
      </c>
      <c r="K6" s="24" t="e">
        <f>('STEP 3--Nutrient Needs'!D11/C6)-VLOOKUP('STEP 4--Choose N'!D2,'N lookup'!A2:Q47,12,FALSE)/C6</f>
        <v>#N/A</v>
      </c>
      <c r="L6" s="25" t="e">
        <f t="shared" si="1"/>
        <v>#N/A</v>
      </c>
      <c r="P6" s="14" t="e">
        <f t="shared" si="0"/>
        <v>#N/A</v>
      </c>
    </row>
    <row r="7" spans="1:16" ht="24.7" x14ac:dyDescent="0.35">
      <c r="A7" s="18" t="str">
        <f>'STEP 5--Choose P'!A13</f>
        <v>Grioux's Composted Poultry Manure</v>
      </c>
      <c r="B7" s="86">
        <f>'STEP 5--Choose P'!B13</f>
        <v>0.02</v>
      </c>
      <c r="C7" s="86">
        <f>'STEP 5--Choose P'!C13</f>
        <v>0.03</v>
      </c>
      <c r="D7" s="86">
        <f>'STEP 5--Choose P'!D13</f>
        <v>1.4999999999999999E-2</v>
      </c>
      <c r="E7" s="86">
        <f>'STEP 5--Choose P'!E13</f>
        <v>7.0000000000000007E-2</v>
      </c>
      <c r="F7" s="86">
        <f>'STEP 5--Choose P'!F13</f>
        <v>0.01</v>
      </c>
      <c r="G7" s="86">
        <f>'STEP 5--Choose P'!G13</f>
        <v>0.05</v>
      </c>
      <c r="H7" s="18" t="str">
        <f>'STEP 5--Choose P'!H13</f>
        <v>med</v>
      </c>
      <c r="I7" s="87">
        <f>'STEP 5--Choose P'!I13</f>
        <v>1</v>
      </c>
      <c r="J7" s="87">
        <f>'STEP 5--Choose P'!J13</f>
        <v>0.66666666666666663</v>
      </c>
      <c r="K7" s="24" t="e">
        <f>('STEP 3--Nutrient Needs'!D11/C7)-VLOOKUP('STEP 4--Choose N'!D2,'N lookup'!A2:Q47,12,FALSE)/C7</f>
        <v>#N/A</v>
      </c>
      <c r="L7" s="25" t="e">
        <f t="shared" si="1"/>
        <v>#N/A</v>
      </c>
      <c r="P7" s="14" t="e">
        <f t="shared" si="0"/>
        <v>#N/A</v>
      </c>
    </row>
    <row r="8" spans="1:16" x14ac:dyDescent="0.35">
      <c r="A8" s="18" t="str">
        <f>'STEP 5--Choose P'!A15</f>
        <v>Naturesafe</v>
      </c>
      <c r="B8" s="86">
        <f>'STEP 5--Choose P'!B15</f>
        <v>0.1</v>
      </c>
      <c r="C8" s="86">
        <f>'STEP 5--Choose P'!C15</f>
        <v>0.02</v>
      </c>
      <c r="D8" s="86">
        <f>'STEP 5--Choose P'!D15</f>
        <v>0.08</v>
      </c>
      <c r="E8" s="86">
        <f>'STEP 5--Choose P'!E15</f>
        <v>0</v>
      </c>
      <c r="F8" s="86">
        <f>'STEP 5--Choose P'!F15</f>
        <v>0</v>
      </c>
      <c r="G8" s="86">
        <f>'STEP 5--Choose P'!G15</f>
        <v>0</v>
      </c>
      <c r="H8" s="18">
        <f>'STEP 5--Choose P'!H15</f>
        <v>0</v>
      </c>
      <c r="I8" s="87">
        <f>'STEP 5--Choose P'!I15</f>
        <v>36.25</v>
      </c>
      <c r="J8" s="87">
        <f>'STEP 5--Choose P'!J15</f>
        <v>0</v>
      </c>
      <c r="K8" s="24" t="e">
        <f>('STEP 3--Nutrient Needs'!D11/C8)-VLOOKUP('STEP 4--Choose N'!D2,'N lookup'!A2:Q47,12,FALSE)/C8</f>
        <v>#N/A</v>
      </c>
      <c r="L8" s="25" t="e">
        <f t="shared" si="1"/>
        <v>#N/A</v>
      </c>
      <c r="P8" s="14" t="e">
        <f t="shared" si="0"/>
        <v>#N/A</v>
      </c>
    </row>
    <row r="9" spans="1:16" x14ac:dyDescent="0.35">
      <c r="A9" s="18" t="str">
        <f>'STEP 5--Choose P'!A16</f>
        <v>Potassium chloride</v>
      </c>
      <c r="B9" s="86">
        <f>'STEP 5--Choose P'!B16</f>
        <v>0</v>
      </c>
      <c r="C9" s="86">
        <f>'STEP 5--Choose P'!C16</f>
        <v>0</v>
      </c>
      <c r="D9" s="86">
        <f>'STEP 5--Choose P'!D16</f>
        <v>0.6</v>
      </c>
      <c r="E9" s="86">
        <f>'STEP 5--Choose P'!E16</f>
        <v>0</v>
      </c>
      <c r="F9" s="86">
        <f>'STEP 5--Choose P'!F16</f>
        <v>0</v>
      </c>
      <c r="G9" s="86">
        <f>'STEP 5--Choose P'!G16</f>
        <v>0</v>
      </c>
      <c r="H9" s="18" t="str">
        <f>'STEP 5--Choose P'!H16</f>
        <v>rapid</v>
      </c>
      <c r="I9" s="87">
        <f>'STEP 5--Choose P'!I16</f>
        <v>18.5</v>
      </c>
      <c r="J9" s="87">
        <f>'STEP 5--Choose P'!J16</f>
        <v>0</v>
      </c>
      <c r="K9" s="24" t="e">
        <f>('STEP 3--Nutrient Needs'!D11/C9)-VLOOKUP('STEP 4--Choose N'!D2,'N lookup'!A2:Q47,12,FALSE)/C9</f>
        <v>#N/A</v>
      </c>
      <c r="L9" s="25" t="e">
        <f t="shared" si="1"/>
        <v>#N/A</v>
      </c>
      <c r="P9" s="14" t="e">
        <f t="shared" si="0"/>
        <v>#N/A</v>
      </c>
    </row>
    <row r="10" spans="1:16" s="14" customFormat="1" x14ac:dyDescent="0.35">
      <c r="A10" s="18" t="str">
        <f>'STEP 5--Choose P'!A17</f>
        <v>Solubor</v>
      </c>
      <c r="B10" s="86"/>
      <c r="C10" s="86"/>
      <c r="D10" s="86"/>
      <c r="E10" s="86"/>
      <c r="F10" s="86"/>
      <c r="G10" s="86"/>
      <c r="H10" s="18"/>
      <c r="I10" s="87"/>
      <c r="J10" s="87"/>
      <c r="K10" s="24"/>
      <c r="L10" s="25">
        <f t="shared" si="1"/>
        <v>0</v>
      </c>
      <c r="M10" s="25"/>
      <c r="N10" s="25"/>
      <c r="O10" s="25"/>
      <c r="P10" s="14">
        <f t="shared" si="0"/>
        <v>0</v>
      </c>
    </row>
    <row r="11" spans="1:16" s="14" customFormat="1" x14ac:dyDescent="0.35">
      <c r="A11" s="18" t="str">
        <f>'STEP 5--Choose P'!A18</f>
        <v>Soybean meal</v>
      </c>
      <c r="B11" s="86">
        <f>'STEP 5--Choose P'!B18</f>
        <v>7.0000000000000007E-2</v>
      </c>
      <c r="C11" s="86">
        <f>'STEP 5--Choose P'!C18</f>
        <v>0.01</v>
      </c>
      <c r="D11" s="86">
        <f>'STEP 5--Choose P'!D18</f>
        <v>0.02</v>
      </c>
      <c r="E11" s="86">
        <f>'STEP 5--Choose P'!E18</f>
        <v>0</v>
      </c>
      <c r="F11" s="86">
        <f>'STEP 5--Choose P'!F18</f>
        <v>0.03</v>
      </c>
      <c r="G11" s="86">
        <f>'STEP 5--Choose P'!G18</f>
        <v>0</v>
      </c>
      <c r="H11" s="18" t="str">
        <f>'STEP 5--Choose P'!H18</f>
        <v>slow/ med</v>
      </c>
      <c r="I11" s="87">
        <f>'STEP 5--Choose P'!I18</f>
        <v>17</v>
      </c>
      <c r="J11" s="87">
        <f>'STEP 5--Choose P'!J18</f>
        <v>34</v>
      </c>
      <c r="K11" s="24" t="e">
        <f>('STEP 3--Nutrient Needs'!D11/C11)-VLOOKUP('STEP 4--Choose N'!D2,'N lookup'!A2:Q47,12,FALSE)/C11</f>
        <v>#N/A</v>
      </c>
      <c r="L11" s="25" t="e">
        <f t="shared" si="1"/>
        <v>#N/A</v>
      </c>
      <c r="M11" s="25"/>
      <c r="N11" s="25"/>
      <c r="O11" s="25"/>
      <c r="P11" s="14" t="e">
        <f t="shared" si="0"/>
        <v>#N/A</v>
      </c>
    </row>
    <row r="12" spans="1:16" s="14" customFormat="1" x14ac:dyDescent="0.35">
      <c r="A12" s="18" t="str">
        <f>'STEP 5--Choose P'!A19</f>
        <v>Soybean meal, OG</v>
      </c>
      <c r="B12" s="86">
        <f>'STEP 5--Choose P'!B19</f>
        <v>7.0000000000000007E-2</v>
      </c>
      <c r="C12" s="86">
        <f>'STEP 5--Choose P'!C19</f>
        <v>0.01</v>
      </c>
      <c r="D12" s="86">
        <f>'STEP 5--Choose P'!D19</f>
        <v>0.02</v>
      </c>
      <c r="E12" s="86">
        <f>'STEP 5--Choose P'!E19</f>
        <v>0</v>
      </c>
      <c r="F12" s="86">
        <f>'STEP 5--Choose P'!F19</f>
        <v>0</v>
      </c>
      <c r="G12" s="86">
        <f>'STEP 5--Choose P'!G19</f>
        <v>0</v>
      </c>
      <c r="H12" s="18" t="str">
        <f>'STEP 5--Choose P'!H19</f>
        <v>slow/ med</v>
      </c>
      <c r="I12" s="87">
        <f>'STEP 5--Choose P'!I19</f>
        <v>43.6</v>
      </c>
      <c r="J12" s="87">
        <f>'STEP 5--Choose P'!J19</f>
        <v>87.2</v>
      </c>
      <c r="K12" s="24" t="e">
        <f>('STEP 3--Nutrient Needs'!D11/C12)-VLOOKUP('STEP 4--Choose N'!D2,'N lookup'!A2:Q47,12,FALSE)/C12</f>
        <v>#N/A</v>
      </c>
      <c r="L12" s="25" t="e">
        <f t="shared" si="1"/>
        <v>#N/A</v>
      </c>
      <c r="M12" s="25" t="e">
        <f>K12*E12</f>
        <v>#N/A</v>
      </c>
      <c r="N12" s="25" t="e">
        <f>K12*F12</f>
        <v>#N/A</v>
      </c>
      <c r="O12" s="25" t="e">
        <f>K12*G12</f>
        <v>#N/A</v>
      </c>
      <c r="P12" s="14" t="e">
        <f t="shared" si="0"/>
        <v>#N/A</v>
      </c>
    </row>
    <row r="13" spans="1:16" s="14" customFormat="1" x14ac:dyDescent="0.35">
      <c r="A13" s="18" t="str">
        <f>'STEP 5--Choose P'!A20</f>
        <v>SOP soluble</v>
      </c>
      <c r="B13" s="86">
        <f>'STEP 5--Choose P'!B20</f>
        <v>0</v>
      </c>
      <c r="C13" s="86">
        <f>'STEP 5--Choose P'!C20</f>
        <v>0</v>
      </c>
      <c r="D13" s="86">
        <f>'STEP 5--Choose P'!D20</f>
        <v>0.52</v>
      </c>
      <c r="E13" s="86">
        <f>'STEP 5--Choose P'!E20</f>
        <v>0</v>
      </c>
      <c r="F13" s="86">
        <f>'STEP 5--Choose P'!F20</f>
        <v>0</v>
      </c>
      <c r="G13" s="86">
        <f>'STEP 5--Choose P'!G20</f>
        <v>0</v>
      </c>
      <c r="H13" s="18">
        <f>'STEP 5--Choose P'!H20</f>
        <v>0</v>
      </c>
      <c r="I13" s="87">
        <f>'STEP 5--Choose P'!I20</f>
        <v>54.3</v>
      </c>
      <c r="J13" s="87">
        <f>'STEP 5--Choose P'!J20</f>
        <v>0</v>
      </c>
      <c r="K13" s="24" t="e">
        <f>('STEP 3--Nutrient Needs'!D11/C13)-VLOOKUP('STEP 4--Choose N'!D2,'N lookup'!A2:Q47,12,FALSE)/C13</f>
        <v>#N/A</v>
      </c>
      <c r="L13" s="25" t="e">
        <f t="shared" si="1"/>
        <v>#N/A</v>
      </c>
      <c r="M13" s="25" t="e">
        <f>K13*E13</f>
        <v>#N/A</v>
      </c>
      <c r="N13" s="25"/>
      <c r="O13" s="25" t="e">
        <f>G13*K13</f>
        <v>#N/A</v>
      </c>
      <c r="P13" s="14" t="e">
        <f t="shared" si="0"/>
        <v>#N/A</v>
      </c>
    </row>
    <row r="14" spans="1:16" s="14" customFormat="1" x14ac:dyDescent="0.35">
      <c r="A14" s="18" t="str">
        <f>'STEP 5--Choose P'!A21</f>
        <v>Urea</v>
      </c>
      <c r="B14" s="86">
        <f>'STEP 5--Choose P'!B21</f>
        <v>0.46</v>
      </c>
      <c r="C14" s="86">
        <f>'STEP 5--Choose P'!C21</f>
        <v>0</v>
      </c>
      <c r="D14" s="86">
        <f>'STEP 5--Choose P'!D21</f>
        <v>0</v>
      </c>
      <c r="E14" s="86">
        <f>'STEP 5--Choose P'!E21</f>
        <v>0</v>
      </c>
      <c r="F14" s="86">
        <f>'STEP 5--Choose P'!F21</f>
        <v>0</v>
      </c>
      <c r="G14" s="86">
        <f>'STEP 5--Choose P'!G21</f>
        <v>0</v>
      </c>
      <c r="H14" s="18" t="str">
        <f>'STEP 5--Choose P'!H21</f>
        <v>rapid</v>
      </c>
      <c r="I14" s="87">
        <f>'STEP 5--Choose P'!I21</f>
        <v>18.75</v>
      </c>
      <c r="J14" s="87">
        <f>'STEP 5--Choose P'!J21</f>
        <v>0</v>
      </c>
      <c r="K14" s="24" t="e">
        <f>('STEP 3--Nutrient Needs'!D11/C14)-VLOOKUP('STEP 4--Choose N'!D2,'N lookup'!A2:Q47,12,FALSE)/C14</f>
        <v>#N/A</v>
      </c>
      <c r="L14" s="25" t="e">
        <f t="shared" si="1"/>
        <v>#N/A</v>
      </c>
      <c r="M14" s="25"/>
      <c r="N14" s="25"/>
      <c r="O14" s="25"/>
      <c r="P14" s="14" t="e">
        <f t="shared" si="0"/>
        <v>#N/A</v>
      </c>
    </row>
    <row r="15" spans="1:16" x14ac:dyDescent="0.35">
      <c r="A15" s="1" t="str">
        <f>'STEP 5--Choose P'!A22</f>
        <v>NONE NEEDED</v>
      </c>
      <c r="B15" s="1">
        <f>'STEP 5--Choose P'!B22</f>
        <v>0</v>
      </c>
      <c r="C15" s="1">
        <f>'STEP 5--Choose P'!C22</f>
        <v>0</v>
      </c>
      <c r="D15" s="1">
        <f>'STEP 5--Choose P'!D22</f>
        <v>0</v>
      </c>
      <c r="E15" s="1">
        <f>'STEP 5--Choose P'!E22</f>
        <v>0</v>
      </c>
      <c r="F15" s="1">
        <f>'STEP 5--Choose P'!F22</f>
        <v>0</v>
      </c>
      <c r="G15" s="1">
        <f>'STEP 5--Choose P'!G22</f>
        <v>0</v>
      </c>
      <c r="H15" s="1">
        <f>'STEP 5--Choose P'!H22</f>
        <v>0</v>
      </c>
      <c r="I15" s="1">
        <f>'STEP 5--Choose P'!I22</f>
        <v>0</v>
      </c>
      <c r="J15" s="1">
        <f>'STEP 5--Choose P'!J22</f>
        <v>0</v>
      </c>
      <c r="K15" s="24">
        <v>0</v>
      </c>
      <c r="L15" s="25">
        <f t="shared" si="1"/>
        <v>0</v>
      </c>
      <c r="M15" s="25">
        <v>0</v>
      </c>
      <c r="N15" s="25">
        <v>0</v>
      </c>
      <c r="O15" s="25">
        <v>0</v>
      </c>
      <c r="P15" s="14">
        <f t="shared" si="0"/>
        <v>0</v>
      </c>
    </row>
    <row r="16" spans="1:16" ht="37" x14ac:dyDescent="0.35">
      <c r="A16" s="1" t="str">
        <f>'STEP 5--Choose P'!A23</f>
        <v>OTHER--enter Name in this cell, analysis and price to right--&gt;</v>
      </c>
      <c r="B16" s="1">
        <f>'STEP 5--Choose P'!B23</f>
        <v>0</v>
      </c>
      <c r="C16" s="1">
        <f>'STEP 5--Choose P'!C23</f>
        <v>0</v>
      </c>
      <c r="D16" s="1">
        <f>'STEP 5--Choose P'!D23</f>
        <v>0</v>
      </c>
      <c r="E16" s="1">
        <f>'STEP 5--Choose P'!E23</f>
        <v>0</v>
      </c>
      <c r="F16" s="1">
        <f>'STEP 5--Choose P'!F23</f>
        <v>0</v>
      </c>
      <c r="G16" s="1">
        <f>'STEP 5--Choose P'!G23</f>
        <v>0</v>
      </c>
      <c r="H16" s="1">
        <f>'STEP 5--Choose P'!H23</f>
        <v>0</v>
      </c>
      <c r="I16" s="1">
        <f>'STEP 5--Choose P'!I23</f>
        <v>0</v>
      </c>
      <c r="J16" s="1" t="e">
        <f>'STEP 5--Choose P'!J23</f>
        <v>#DIV/0!</v>
      </c>
      <c r="K16" s="24" t="e">
        <f>('STEP 3--Nutrient Needs'!D11/C16)-VLOOKUP('STEP 4--Choose N'!D2,'N lookup'!A2:Q47,12,FALSE)/C16</f>
        <v>#N/A</v>
      </c>
      <c r="L16" s="25" t="e">
        <f t="shared" si="1"/>
        <v>#N/A</v>
      </c>
      <c r="P16" s="14" t="e">
        <f t="shared" si="0"/>
        <v>#N/A</v>
      </c>
    </row>
    <row r="17" spans="16:16" x14ac:dyDescent="0.35">
      <c r="P17" s="14">
        <f t="shared" si="0"/>
        <v>0</v>
      </c>
    </row>
  </sheetData>
  <phoneticPr fontId="6" type="noConversion"/>
  <pageMargins left="0.75" right="0.75" top="1" bottom="1" header="0.5" footer="0.5"/>
  <pageSetup orientation="landscape" horizontalDpi="4294967292" verticalDpi="4294967292" r:id="rId1"/>
  <headerFooter>
    <oddHeader>&amp;CFertilizer Calculator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22c289-1429-42e0-9bfd-d06de7cb3631">
      <Terms xmlns="http://schemas.microsoft.com/office/infopath/2007/PartnerControls"/>
    </lcf76f155ced4ddcb4097134ff3c332f>
    <TaxCatchAll xmlns="6e374a74-cb16-49b6-8f3d-3264fbe8e4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B230882CC59D43A9F76026DB915092" ma:contentTypeVersion="13" ma:contentTypeDescription="Create a new document." ma:contentTypeScope="" ma:versionID="1b729e393fec022a6710dc8bc00ceed5">
  <xsd:schema xmlns:xsd="http://www.w3.org/2001/XMLSchema" xmlns:xs="http://www.w3.org/2001/XMLSchema" xmlns:p="http://schemas.microsoft.com/office/2006/metadata/properties" xmlns:ns2="4b22c289-1429-42e0-9bfd-d06de7cb3631" xmlns:ns3="6e374a74-cb16-49b6-8f3d-3264fbe8e4a3" targetNamespace="http://schemas.microsoft.com/office/2006/metadata/properties" ma:root="true" ma:fieldsID="e1677b65f0ac6567a4844460667b41f9" ns2:_="" ns3:_="">
    <xsd:import namespace="4b22c289-1429-42e0-9bfd-d06de7cb3631"/>
    <xsd:import namespace="6e374a74-cb16-49b6-8f3d-3264fbe8e4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2c289-1429-42e0-9bfd-d06de7cb36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e77d114-7286-4773-b3f3-9b1cc7669c5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374a74-cb16-49b6-8f3d-3264fbe8e4a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97279b0-3192-4821-bb86-f7e77f889104}" ma:internalName="TaxCatchAll" ma:showField="CatchAllData" ma:web="6e374a74-cb16-49b6-8f3d-3264fbe8e4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B0266C-6B92-4177-90D5-9F35569C230C}">
  <ds:schemaRefs>
    <ds:schemaRef ds:uri="http://schemas.microsoft.com/sharepoint/v3/contenttype/forms"/>
  </ds:schemaRefs>
</ds:datastoreItem>
</file>

<file path=customXml/itemProps2.xml><?xml version="1.0" encoding="utf-8"?>
<ds:datastoreItem xmlns:ds="http://schemas.openxmlformats.org/officeDocument/2006/customXml" ds:itemID="{E5C50A45-35E3-433E-A17E-15E7B21AC9F5}">
  <ds:schemaRefs>
    <ds:schemaRef ds:uri="http://schemas.microsoft.com/office/2006/metadata/properties"/>
    <ds:schemaRef ds:uri="http://schemas.microsoft.com/office/infopath/2007/PartnerControls"/>
    <ds:schemaRef ds:uri="4b22c289-1429-42e0-9bfd-d06de7cb3631"/>
    <ds:schemaRef ds:uri="6e374a74-cb16-49b6-8f3d-3264fbe8e4a3"/>
  </ds:schemaRefs>
</ds:datastoreItem>
</file>

<file path=customXml/itemProps3.xml><?xml version="1.0" encoding="utf-8"?>
<ds:datastoreItem xmlns:ds="http://schemas.openxmlformats.org/officeDocument/2006/customXml" ds:itemID="{038D1E1E-DE62-4992-8ABB-30A486C0D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2c289-1429-42e0-9bfd-d06de7cb3631"/>
    <ds:schemaRef ds:uri="6e374a74-cb16-49b6-8f3d-3264fbe8e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STEP 1--Field Information</vt:lpstr>
      <vt:lpstr>STEP 2--Soil Test Information</vt:lpstr>
      <vt:lpstr>Veg rec lookup</vt:lpstr>
      <vt:lpstr>STEP 3--Nutrient Needs</vt:lpstr>
      <vt:lpstr>Crop look up</vt:lpstr>
      <vt:lpstr>STEP 4--Choose N</vt:lpstr>
      <vt:lpstr>N lookup</vt:lpstr>
      <vt:lpstr>STEP 5--Choose P</vt:lpstr>
      <vt:lpstr>P lookup</vt:lpstr>
      <vt:lpstr>STEP 6--Choose K</vt:lpstr>
      <vt:lpstr>K lookup</vt:lpstr>
      <vt:lpstr>STEP 7--Fertilizer Costs</vt:lpstr>
      <vt:lpstr>Calcium</vt:lpstr>
      <vt:lpstr>Magnesium</vt:lpstr>
      <vt:lpstr>Sulfur</vt:lpstr>
      <vt:lpstr>Trace Element </vt:lpstr>
      <vt:lpstr>STEP 8--Amendment Plan</vt:lpstr>
      <vt:lpstr>Appendix--Fertilizer Costs</vt:lpstr>
      <vt:lpstr>Cost per pound of Nutrients</vt:lpstr>
      <vt:lpstr>ActiveLIne</vt:lpstr>
      <vt:lpstr>ActiveLineLeft</vt:lpstr>
      <vt:lpstr>'Appendix--Fertilizer Costs'!Print_Titles</vt:lpstr>
    </vt:vector>
  </TitlesOfParts>
  <Manager/>
  <Company>Intervale Community Farm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Maden</dc:creator>
  <cp:keywords/>
  <dc:description/>
  <cp:lastModifiedBy>Andrew Chamberlin</cp:lastModifiedBy>
  <cp:revision/>
  <dcterms:created xsi:type="dcterms:W3CDTF">2015-07-15T17:38:30Z</dcterms:created>
  <dcterms:modified xsi:type="dcterms:W3CDTF">2026-03-11T00:53:05Z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0x0101003FB230882CC59D43A9F76026DB915092</vt:lpwstr>
  </property>
  <property fmtid="{D5CDD505-2E9C-101B-9397-08002B2CF9AE}" pid="3" name="MediaServiceImageTags">
    <vt:lpwstr/>
  </property>
</Properties>
</file>